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F988" lockStructure="1"/>
  <bookViews>
    <workbookView xWindow="-15" yWindow="345" windowWidth="15375" windowHeight="5040"/>
  </bookViews>
  <sheets>
    <sheet name="interface" sheetId="1" r:id="rId1"/>
    <sheet name="obliczenia" sheetId="8" state="hidden" r:id="rId2"/>
    <sheet name="OZE_cieplo" sheetId="4" state="hidden" r:id="rId3"/>
    <sheet name="OZE_en_el" sheetId="5" state="hidden" r:id="rId4"/>
    <sheet name="OZE_kogen" sheetId="6" state="hidden" r:id="rId5"/>
    <sheet name="high_kogen" sheetId="7" state="hidden" r:id="rId6"/>
  </sheets>
  <definedNames>
    <definedName name="_xlnm.Print_Area" localSheetId="5">high_kogen!$A$1:$AA$86</definedName>
    <definedName name="_xlnm.Print_Area" localSheetId="0">interface!$A$1:$T$36</definedName>
    <definedName name="_xlnm.Print_Area" localSheetId="2">OZE_cieplo!$A$1:$AA$70</definedName>
    <definedName name="_xlnm.Print_Area" localSheetId="3">OZE_en_el!$A$1:$AS$88</definedName>
    <definedName name="_xlnm.Print_Area" localSheetId="4">OZE_kogen!$A$1:$AA$70</definedName>
  </definedNames>
  <calcPr calcId="145621"/>
</workbook>
</file>

<file path=xl/calcChain.xml><?xml version="1.0" encoding="utf-8"?>
<calcChain xmlns="http://schemas.openxmlformats.org/spreadsheetml/2006/main">
  <c r="L20" i="1" l="1"/>
  <c r="G2" i="8" l="1"/>
  <c r="J5" i="8"/>
  <c r="G3" i="8" l="1"/>
  <c r="I39" i="8" l="1"/>
  <c r="A24" i="8" s="1"/>
  <c r="G4" i="8" l="1"/>
  <c r="A21" i="8"/>
  <c r="G27" i="8" l="1"/>
  <c r="G27" i="1"/>
  <c r="G31" i="1"/>
  <c r="F23" i="8"/>
  <c r="E23" i="8"/>
  <c r="D13" i="8"/>
  <c r="I20" i="8"/>
  <c r="H20" i="8"/>
  <c r="F20" i="8"/>
  <c r="I19" i="8"/>
  <c r="H19" i="8"/>
  <c r="F19" i="8"/>
  <c r="I18" i="8"/>
  <c r="H18" i="8"/>
  <c r="F18" i="8"/>
  <c r="H17" i="8"/>
  <c r="G5" i="8" l="1"/>
  <c r="N1" i="8" s="1"/>
  <c r="D18" i="8"/>
  <c r="D17" i="8"/>
  <c r="D31" i="8"/>
  <c r="D15" i="8"/>
  <c r="D19" i="8"/>
  <c r="D16" i="8"/>
  <c r="G31" i="8"/>
  <c r="D14" i="8"/>
  <c r="D20" i="8"/>
  <c r="R12" i="1" l="1"/>
  <c r="D21" i="8"/>
  <c r="E27" i="1" l="1"/>
  <c r="D31" i="1"/>
  <c r="D30" i="8"/>
  <c r="E26" i="8"/>
  <c r="D34" i="1"/>
  <c r="E34" i="8"/>
  <c r="B34" i="7"/>
  <c r="D34" i="7" s="1"/>
  <c r="B35" i="7"/>
  <c r="D35" i="7" s="1"/>
  <c r="B32" i="7"/>
  <c r="D32" i="7" s="1"/>
  <c r="B36" i="7"/>
  <c r="D36" i="7" s="1"/>
  <c r="B33" i="7"/>
  <c r="D33" i="7" s="1"/>
  <c r="E27" i="8"/>
  <c r="B35" i="4"/>
  <c r="D35" i="4" s="1"/>
  <c r="B32" i="4"/>
  <c r="D32" i="4" s="1"/>
  <c r="B36" i="4"/>
  <c r="D36" i="4" s="1"/>
  <c r="B34" i="4"/>
  <c r="D34" i="4" s="1"/>
  <c r="B33" i="4"/>
  <c r="D33" i="4" s="1"/>
  <c r="B32" i="5"/>
  <c r="D32" i="5" s="1"/>
  <c r="B34" i="6"/>
  <c r="D34" i="6" s="1"/>
  <c r="B33" i="6"/>
  <c r="D33" i="6" s="1"/>
  <c r="B32" i="6"/>
  <c r="D32" i="6" s="1"/>
  <c r="B35" i="6"/>
  <c r="D35" i="6" s="1"/>
  <c r="B37" i="5"/>
  <c r="D37" i="5" s="1"/>
  <c r="B38" i="5"/>
  <c r="B39" i="5"/>
  <c r="D39" i="5" s="1"/>
  <c r="B34" i="5"/>
  <c r="D34" i="5" s="1"/>
  <c r="B35" i="5"/>
  <c r="D35" i="5" s="1"/>
  <c r="B33" i="5"/>
  <c r="D33" i="5" s="1"/>
  <c r="B36" i="5"/>
  <c r="D36" i="5" s="1"/>
  <c r="D38" i="5" l="1"/>
  <c r="E38" i="5"/>
  <c r="E32" i="7"/>
  <c r="E39" i="5"/>
  <c r="E37" i="5"/>
  <c r="E36" i="5"/>
  <c r="E35" i="5"/>
  <c r="E32" i="5"/>
  <c r="E36" i="4"/>
  <c r="D40" i="4"/>
  <c r="L15" i="8" s="1"/>
  <c r="E35" i="4"/>
  <c r="E33" i="4"/>
  <c r="E33" i="7"/>
  <c r="E36" i="7"/>
  <c r="E34" i="7"/>
  <c r="E35" i="7"/>
  <c r="E32" i="4"/>
  <c r="E34" i="4"/>
  <c r="E32" i="6"/>
  <c r="E33" i="6"/>
  <c r="D40" i="6"/>
  <c r="L17" i="8" s="1"/>
  <c r="E34" i="6"/>
  <c r="E35" i="6"/>
  <c r="E33" i="5"/>
  <c r="E34" i="5"/>
  <c r="E40" i="4" l="1"/>
  <c r="M15" i="8" s="1"/>
  <c r="E40" i="5"/>
  <c r="M16" i="8" s="1"/>
  <c r="D40" i="7"/>
  <c r="L18" i="8" s="1"/>
  <c r="E40" i="7"/>
  <c r="M18" i="8" s="1"/>
  <c r="E40" i="6"/>
  <c r="M17" i="8" s="1"/>
  <c r="D40" i="5"/>
  <c r="L16" i="8" s="1"/>
  <c r="L19" i="8" l="1"/>
  <c r="M19" i="8"/>
  <c r="M20" i="8" s="1"/>
  <c r="N3" i="8" l="1"/>
  <c r="O3" i="8"/>
  <c r="L20" i="8"/>
  <c r="R14" i="1" s="1"/>
  <c r="L21" i="8" l="1"/>
  <c r="L22" i="8" s="1"/>
  <c r="N6" i="8" s="1"/>
  <c r="R16" i="1"/>
  <c r="R18" i="1" l="1"/>
  <c r="R21" i="1"/>
  <c r="N8" i="8"/>
  <c r="S16" i="1"/>
  <c r="S14" i="1" s="1"/>
  <c r="R24" i="1" l="1"/>
</calcChain>
</file>

<file path=xl/comments1.xml><?xml version="1.0" encoding="utf-8"?>
<comments xmlns="http://schemas.openxmlformats.org/spreadsheetml/2006/main">
  <authors>
    <author>Autor</author>
  </authors>
  <commentList>
    <comment ref="X3" authorId="0">
      <text>
        <r>
          <rPr>
            <sz val="9"/>
            <color indexed="81"/>
            <rFont val="Tahoma"/>
            <family val="2"/>
          </rPr>
          <t xml:space="preserve">Dla przedziału &lt;50;400) - jednostkowe nakłady na instalację referencyjną stałe jak dla wartości 50 GWh/r
</t>
        </r>
      </text>
    </comment>
  </commentList>
</comments>
</file>

<file path=xl/sharedStrings.xml><?xml version="1.0" encoding="utf-8"?>
<sst xmlns="http://schemas.openxmlformats.org/spreadsheetml/2006/main" count="523" uniqueCount="162">
  <si>
    <t>PLN</t>
  </si>
  <si>
    <t>Czy Wnioskodawca jest małym przedsiębiorcą?</t>
  </si>
  <si>
    <t>NIE</t>
  </si>
  <si>
    <t>Czy Wnioskodawca jest średnim przedsiębiorcą?</t>
  </si>
  <si>
    <t>Intensywność pomocy:</t>
  </si>
  <si>
    <t>podstawowa</t>
  </si>
  <si>
    <t>instalacja referencyjna</t>
  </si>
  <si>
    <t>kotły wodne gazowe</t>
  </si>
  <si>
    <t>(1;5&gt;</t>
  </si>
  <si>
    <t>(5;15&gt;</t>
  </si>
  <si>
    <t>(15;25&gt;</t>
  </si>
  <si>
    <t>moc [MWt]</t>
  </si>
  <si>
    <t>mln PLN/MWt</t>
  </si>
  <si>
    <t>PLN/GJ</t>
  </si>
  <si>
    <t>instalacja planowana</t>
  </si>
  <si>
    <t>MWt</t>
  </si>
  <si>
    <t>kolektory słoneczne</t>
  </si>
  <si>
    <t>wg GJ</t>
  </si>
  <si>
    <t>biomasa</t>
  </si>
  <si>
    <t>wg MWt</t>
  </si>
  <si>
    <t>geotermia/pompy</t>
  </si>
  <si>
    <t>biogaz rolniczy</t>
  </si>
  <si>
    <t>inne</t>
  </si>
  <si>
    <t>mln PLN/MWe</t>
  </si>
  <si>
    <t>PLN/MWh</t>
  </si>
  <si>
    <t>GWh/r</t>
  </si>
  <si>
    <t>MWe</t>
  </si>
  <si>
    <t>wiatr na lądzie</t>
  </si>
  <si>
    <t>wiatr na morzu</t>
  </si>
  <si>
    <t>fotowoltaika</t>
  </si>
  <si>
    <t>PLN/MWe</t>
  </si>
  <si>
    <t>biogaz składowiska</t>
  </si>
  <si>
    <t>woda</t>
  </si>
  <si>
    <t>PLN/MWt</t>
  </si>
  <si>
    <t>biogaz oczyszczalnie</t>
  </si>
  <si>
    <t>Maksymalna intensywność pomocy:</t>
  </si>
  <si>
    <t>Dane techniczne:</t>
  </si>
  <si>
    <t>ciepło z OZE</t>
  </si>
  <si>
    <t>energia elektryczna z OZE</t>
  </si>
  <si>
    <t>kogeneracja z OZE</t>
  </si>
  <si>
    <t>wysokosprawna kogeneracja</t>
  </si>
  <si>
    <t>ciepło:</t>
  </si>
  <si>
    <t>energia elektryczna:</t>
  </si>
  <si>
    <t>MWh</t>
  </si>
  <si>
    <t>a) Obszar (rodzaj) instalacji planowanej:</t>
  </si>
  <si>
    <t>b) Technologia:</t>
  </si>
  <si>
    <t>c) Moc instalacji brutto:</t>
  </si>
  <si>
    <t>GJ</t>
  </si>
  <si>
    <t>=</t>
  </si>
  <si>
    <t>&lt;1;10)</t>
  </si>
  <si>
    <t>&lt;10;20)</t>
  </si>
  <si>
    <t>&lt;20;35)</t>
  </si>
  <si>
    <t>&lt;35;50)</t>
  </si>
  <si>
    <t>&lt;50;100)</t>
  </si>
  <si>
    <t>&lt;100;200)</t>
  </si>
  <si>
    <t>od 200</t>
  </si>
  <si>
    <t>&lt;0,4;3)</t>
  </si>
  <si>
    <t>&lt;3;10)</t>
  </si>
  <si>
    <t>&lt;10;50)</t>
  </si>
  <si>
    <t>&lt;400;1000)</t>
  </si>
  <si>
    <t>od 1000</t>
  </si>
  <si>
    <t>od 50</t>
  </si>
  <si>
    <t>od 3</t>
  </si>
  <si>
    <t>Nazwa wnioskodawcy:</t>
  </si>
  <si>
    <t>Nazwa projektu:</t>
  </si>
  <si>
    <t>DANE DLA INSTALACJI PLANOWANEJ</t>
  </si>
  <si>
    <t>WYNIKI KALKULACJI</t>
  </si>
  <si>
    <t>Sprawdzanie poprawności danych:</t>
  </si>
  <si>
    <t>min</t>
  </si>
  <si>
    <t>max</t>
  </si>
  <si>
    <t>Moc instalacji brutto:</t>
  </si>
  <si>
    <t>Średnia produkcja netto roczna w okresie 5 lat od rozpoczęcia eksploatacji</t>
  </si>
  <si>
    <t>DANE IDENTYFIKACYJNE WNIOSKODAWCY</t>
  </si>
  <si>
    <t xml:space="preserve"> </t>
  </si>
  <si>
    <t>(0;0,5)</t>
  </si>
  <si>
    <t>od 0,5</t>
  </si>
  <si>
    <t>Biomasa</t>
  </si>
  <si>
    <t>Biogaz rolniczy</t>
  </si>
  <si>
    <t>Biogaz składowiska</t>
  </si>
  <si>
    <t>Woda</t>
  </si>
  <si>
    <t>Wiatr na lądzie</t>
  </si>
  <si>
    <t>Wiatr na morzu</t>
  </si>
  <si>
    <t>Fotowoltaika</t>
  </si>
  <si>
    <t>Kolektory słoneczne</t>
  </si>
  <si>
    <t>Geotermia/pompy</t>
  </si>
  <si>
    <t>Instalacja referencyjna</t>
  </si>
  <si>
    <t>Biogaz oczyszczalnie</t>
  </si>
  <si>
    <t>PLN/MWh(/r)</t>
  </si>
  <si>
    <t>(0;1&gt;</t>
  </si>
  <si>
    <t>(0;5&gt;</t>
  </si>
  <si>
    <t>do 1</t>
  </si>
  <si>
    <t>moc [MWe]</t>
  </si>
  <si>
    <t>silniki gazowe</t>
  </si>
  <si>
    <t>blok gazowo-parowy</t>
  </si>
  <si>
    <t>produkcja [GWh/r]</t>
  </si>
  <si>
    <t>Nakłady jednostkowe na instalację referencyjną:</t>
  </si>
  <si>
    <r>
      <rPr>
        <sz val="11"/>
        <color theme="1"/>
        <rFont val="Calibri"/>
        <family val="2"/>
      </rPr>
      <t>←</t>
    </r>
    <r>
      <rPr>
        <sz val="11"/>
        <color theme="1"/>
        <rFont val="Calibri"/>
        <family val="2"/>
        <scheme val="minor"/>
      </rPr>
      <t xml:space="preserve"> nakłady na instalację referencyjną (netto)</t>
    </r>
  </si>
  <si>
    <t>← "luka nakładów" (netto)</t>
  </si>
  <si>
    <t>+15/+5 p.proc. (lokalizacja)</t>
  </si>
  <si>
    <t>Rozwijane listy:</t>
  </si>
  <si>
    <t>← aktualny wybór</t>
  </si>
  <si>
    <t>mazowieckie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</si>
  <si>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</si>
  <si>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</si>
  <si>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</si>
  <si>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</si>
  <si>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</si>
  <si>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</si>
  <si>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</si>
  <si>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</si>
  <si>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Województwo lokalizacji inwestycji: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</si>
  <si>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</si>
  <si>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</si>
  <si>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</si>
  <si>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</si>
  <si>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</si>
  <si>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</si>
  <si>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</si>
  <si>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elektrownia wiatrowa na morzu</t>
  </si>
  <si>
    <t>ciepłownia kolektorowa</t>
  </si>
  <si>
    <t>ciepłownia biomasowa</t>
  </si>
  <si>
    <t>ciepłownia geotermalna/pompy</t>
  </si>
  <si>
    <t>ciepłownia na biogaz</t>
  </si>
  <si>
    <t>elektrownia wiatrowa na lądzie</t>
  </si>
  <si>
    <t>elektrownia fotowoltaiczna</t>
  </si>
  <si>
    <t>elektrownia biomasowa</t>
  </si>
  <si>
    <t>elektrownia na biogaz rolniczy</t>
  </si>
  <si>
    <t>elektrownia wodna</t>
  </si>
  <si>
    <t>EC biomasowa</t>
  </si>
  <si>
    <t>EC na biogaz rolniczy</t>
  </si>
  <si>
    <t xml:space="preserve">   ← aktualny wybór</t>
  </si>
  <si>
    <t>elektrownia na biogaz składowiska</t>
  </si>
  <si>
    <t>EC na biogaz oczyszczalni</t>
  </si>
  <si>
    <t>&lt;0,05;1)</t>
  </si>
  <si>
    <t>od 35</t>
  </si>
  <si>
    <t>&lt;50;400)</t>
  </si>
  <si>
    <t>biogaz</t>
  </si>
  <si>
    <t xml:space="preserve">Biogaz </t>
  </si>
  <si>
    <t>Przedziały instalcji referencyjnych</t>
  </si>
  <si>
    <t>Symulacje nakładów jednostkowych na instalacje referencyjne dla poszczególnych instalacji planowanych</t>
  </si>
  <si>
    <t>(25;40&gt;</t>
  </si>
  <si>
    <t>Maksymalna potencjalna kwota pomocy*:</t>
  </si>
  <si>
    <t>Nakłady całkowite na instalację referencyjną:</t>
  </si>
  <si>
    <t>d) Średnia produkcja netto roczna w okresie trwałości projektu:</t>
  </si>
  <si>
    <t>+10/+20 p.proc. (średnie/małe przedsiębiorstwo)</t>
  </si>
  <si>
    <t>Nakłady jednostkowe na instalację referencyjną (wskaźnik):</t>
  </si>
  <si>
    <t>TAK</t>
  </si>
  <si>
    <t>Nakłady inwestycyjne*:</t>
  </si>
  <si>
    <t>** Faktyczna kwota pomocy będzie wynikała z warunków określonych w regulaminach konkursowych oraz będzie wynikiem negocjacji z instytucją udzielającą wsparcia.</t>
  </si>
  <si>
    <t>Maksymalna potencjalna kwota pomocy publicznej**:</t>
  </si>
  <si>
    <t>Czy inwestycja posiada instalację referencyjną? (art. 41 p. 7b)</t>
  </si>
  <si>
    <t>e) Moc instalacji w paliwie</t>
  </si>
  <si>
    <t>MW</t>
  </si>
  <si>
    <t>EC na paliwa kopalne do 20 MW w paliwie</t>
  </si>
  <si>
    <t>paliwa kopalne do 20 MW w paliwie</t>
  </si>
  <si>
    <t>Moc instalacji w paliwie:</t>
  </si>
  <si>
    <t>Paliwa kopalne do 20 MW w paliwie</t>
  </si>
  <si>
    <t>* Nakłady inwestycyjne podane zgodnie z regulaminem konkursu</t>
  </si>
  <si>
    <t>Nakłady jednostkowe na instalację planowaną (wskaźnik):</t>
  </si>
  <si>
    <t>Lokalizacja projektu (adres, gmina, województwo)</t>
  </si>
  <si>
    <t>×</t>
  </si>
  <si>
    <t>&lt;0,05;50)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</si>
</sst>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5" fillId="2" borderId="0" xfId="0" applyFont="1" applyFill="1"/>
    <xf numFmtId="9" fontId="5" fillId="2" borderId="0" xfId="0" applyNumberFormat="1" applyFont="1" applyFill="1"/>
    <xf numFmtId="0" fontId="5" fillId="2" borderId="0" xfId="0" quotePrefix="1" applyFont="1" applyFill="1"/>
    <xf numFmtId="9" fontId="5" fillId="2" borderId="4" xfId="0" applyNumberFormat="1" applyFont="1" applyFill="1" applyBorder="1"/>
    <xf numFmtId="4" fontId="5" fillId="2" borderId="0" xfId="0" applyNumberFormat="1" applyFont="1" applyFill="1"/>
    <xf numFmtId="0" fontId="0" fillId="0" borderId="0" xfId="0" applyFill="1" applyBorder="1"/>
    <xf numFmtId="0" fontId="3" fillId="0" borderId="0" xfId="0" applyFont="1"/>
    <xf numFmtId="0" fontId="0" fillId="0" borderId="0" xfId="0" applyBorder="1"/>
    <xf numFmtId="9" fontId="3" fillId="4" borderId="1" xfId="0" applyNumberFormat="1" applyFont="1" applyFill="1" applyBorder="1"/>
    <xf numFmtId="0" fontId="7" fillId="4" borderId="0" xfId="0" applyFont="1" applyFill="1"/>
    <xf numFmtId="0" fontId="7" fillId="0" borderId="0" xfId="0" applyFont="1"/>
    <xf numFmtId="2" fontId="7" fillId="4" borderId="1" xfId="0" applyNumberFormat="1" applyFont="1" applyFill="1" applyBorder="1"/>
    <xf numFmtId="0" fontId="7" fillId="2" borderId="0" xfId="0" applyFont="1" applyFill="1"/>
    <xf numFmtId="0" fontId="7" fillId="0" borderId="0" xfId="1" applyFont="1" applyAlignment="1">
      <alignment horizontal="center"/>
    </xf>
    <xf numFmtId="0" fontId="7" fillId="0" borderId="0" xfId="1" applyFont="1"/>
    <xf numFmtId="0" fontId="3" fillId="0" borderId="0" xfId="1" applyFont="1" applyAlignment="1">
      <alignment horizontal="right"/>
    </xf>
    <xf numFmtId="0" fontId="7" fillId="0" borderId="5" xfId="1" applyFont="1" applyBorder="1"/>
    <xf numFmtId="0" fontId="3" fillId="0" borderId="0" xfId="1" applyFont="1"/>
    <xf numFmtId="0" fontId="7" fillId="3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5" fillId="0" borderId="0" xfId="1" applyFont="1"/>
    <xf numFmtId="0" fontId="7" fillId="3" borderId="0" xfId="1" applyFont="1" applyFill="1"/>
    <xf numFmtId="0" fontId="7" fillId="0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2" fontId="7" fillId="2" borderId="0" xfId="1" applyNumberFormat="1" applyFont="1" applyFill="1" applyAlignment="1">
      <alignment horizontal="right"/>
    </xf>
    <xf numFmtId="0" fontId="7" fillId="2" borderId="4" xfId="1" applyFont="1" applyFill="1" applyBorder="1"/>
    <xf numFmtId="2" fontId="7" fillId="2" borderId="0" xfId="1" applyNumberFormat="1" applyFont="1" applyFill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7" fillId="0" borderId="5" xfId="0" applyFont="1" applyBorder="1"/>
    <xf numFmtId="0" fontId="7" fillId="3" borderId="0" xfId="0" applyFont="1" applyFill="1"/>
    <xf numFmtId="0" fontId="7" fillId="0" borderId="0" xfId="0" applyFont="1" applyFill="1"/>
    <xf numFmtId="0" fontId="7" fillId="3" borderId="0" xfId="0" applyFont="1" applyFill="1" applyAlignment="1">
      <alignment horizontal="center"/>
    </xf>
    <xf numFmtId="2" fontId="7" fillId="2" borderId="4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Fill="1"/>
    <xf numFmtId="2" fontId="7" fillId="0" borderId="0" xfId="1" applyNumberFormat="1" applyFont="1"/>
    <xf numFmtId="0" fontId="7" fillId="0" borderId="13" xfId="0" applyFont="1" applyFill="1" applyBorder="1"/>
    <xf numFmtId="0" fontId="7" fillId="0" borderId="13" xfId="0" applyFont="1" applyBorder="1"/>
    <xf numFmtId="0" fontId="7" fillId="3" borderId="13" xfId="0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7" fillId="3" borderId="0" xfId="0" applyFont="1" applyFill="1" applyBorder="1"/>
    <xf numFmtId="0" fontId="9" fillId="0" borderId="0" xfId="1" applyFont="1"/>
    <xf numFmtId="2" fontId="9" fillId="0" borderId="0" xfId="1" applyNumberFormat="1" applyFont="1"/>
    <xf numFmtId="164" fontId="9" fillId="0" borderId="0" xfId="1" applyNumberFormat="1" applyFont="1"/>
    <xf numFmtId="0" fontId="9" fillId="0" borderId="0" xfId="0" applyFont="1" applyFill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1" applyFont="1" applyFill="1"/>
    <xf numFmtId="1" fontId="7" fillId="0" borderId="0" xfId="1" applyNumberFormat="1" applyFont="1" applyAlignment="1">
      <alignment horizontal="center"/>
    </xf>
    <xf numFmtId="0" fontId="3" fillId="0" borderId="0" xfId="1" applyFont="1" applyFill="1"/>
    <xf numFmtId="0" fontId="5" fillId="4" borderId="0" xfId="0" applyFont="1" applyFill="1"/>
    <xf numFmtId="0" fontId="5" fillId="4" borderId="6" xfId="0" applyFont="1" applyFill="1" applyBorder="1"/>
    <xf numFmtId="2" fontId="7" fillId="4" borderId="8" xfId="0" applyNumberFormat="1" applyFont="1" applyFill="1" applyBorder="1"/>
    <xf numFmtId="0" fontId="7" fillId="4" borderId="9" xfId="0" applyFont="1" applyFill="1" applyBorder="1"/>
    <xf numFmtId="2" fontId="7" fillId="4" borderId="10" xfId="0" applyNumberFormat="1" applyFont="1" applyFill="1" applyBorder="1"/>
    <xf numFmtId="0" fontId="7" fillId="4" borderId="6" xfId="0" applyFont="1" applyFill="1" applyBorder="1"/>
    <xf numFmtId="0" fontId="5" fillId="4" borderId="12" xfId="0" applyFont="1" applyFill="1" applyBorder="1"/>
    <xf numFmtId="2" fontId="7" fillId="4" borderId="11" xfId="0" applyNumberFormat="1" applyFont="1" applyFill="1" applyBorder="1"/>
    <xf numFmtId="0" fontId="7" fillId="4" borderId="12" xfId="0" applyFont="1" applyFill="1" applyBorder="1"/>
    <xf numFmtId="0" fontId="7" fillId="4" borderId="0" xfId="0" applyFont="1" applyFill="1" applyAlignment="1">
      <alignment horizontal="right"/>
    </xf>
    <xf numFmtId="4" fontId="7" fillId="4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/>
    <xf numFmtId="0" fontId="7" fillId="0" borderId="0" xfId="0" applyFont="1" applyAlignment="1">
      <alignment horizontal="right"/>
    </xf>
    <xf numFmtId="0" fontId="9" fillId="0" borderId="0" xfId="1" applyFont="1" applyFill="1"/>
    <xf numFmtId="0" fontId="9" fillId="0" borderId="0" xfId="1" applyFont="1" applyFill="1" applyBorder="1" applyAlignment="1">
      <alignment horizontal="right"/>
    </xf>
    <xf numFmtId="2" fontId="9" fillId="0" borderId="0" xfId="1" applyNumberFormat="1" applyFont="1" applyFill="1"/>
    <xf numFmtId="0" fontId="9" fillId="0" borderId="0" xfId="1" applyFont="1" applyFill="1" applyAlignment="1">
      <alignment horizontal="right"/>
    </xf>
    <xf numFmtId="2" fontId="7" fillId="0" borderId="0" xfId="1" applyNumberFormat="1" applyFont="1" applyFill="1"/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0" fillId="4" borderId="0" xfId="0" applyFont="1" applyFill="1"/>
    <xf numFmtId="0" fontId="7" fillId="2" borderId="5" xfId="1" applyFont="1" applyFill="1" applyBorder="1"/>
    <xf numFmtId="0" fontId="5" fillId="0" borderId="0" xfId="1" applyFont="1" applyFill="1"/>
    <xf numFmtId="0" fontId="0" fillId="4" borderId="0" xfId="0" quotePrefix="1" applyFont="1" applyFill="1"/>
    <xf numFmtId="0" fontId="3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3" xfId="0" applyBorder="1"/>
    <xf numFmtId="0" fontId="0" fillId="0" borderId="19" xfId="0" applyBorder="1"/>
    <xf numFmtId="0" fontId="0" fillId="0" borderId="5" xfId="0" applyBorder="1"/>
    <xf numFmtId="0" fontId="0" fillId="0" borderId="14" xfId="0" applyBorder="1"/>
    <xf numFmtId="4" fontId="7" fillId="0" borderId="0" xfId="0" applyNumberFormat="1" applyFont="1"/>
    <xf numFmtId="0" fontId="3" fillId="0" borderId="0" xfId="1" applyFont="1" applyFill="1" applyAlignment="1">
      <alignment horizontal="right"/>
    </xf>
    <xf numFmtId="0" fontId="7" fillId="0" borderId="5" xfId="1" applyFont="1" applyFill="1" applyBorder="1"/>
    <xf numFmtId="0" fontId="7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/>
    <xf numFmtId="0" fontId="7" fillId="6" borderId="0" xfId="0" applyFont="1" applyFill="1"/>
    <xf numFmtId="0" fontId="9" fillId="6" borderId="0" xfId="0" applyFont="1" applyFill="1"/>
    <xf numFmtId="2" fontId="9" fillId="6" borderId="1" xfId="0" applyNumberFormat="1" applyFont="1" applyFill="1" applyBorder="1"/>
    <xf numFmtId="0" fontId="9" fillId="6" borderId="0" xfId="0" quotePrefix="1" applyFont="1" applyFill="1"/>
    <xf numFmtId="0" fontId="9" fillId="6" borderId="0" xfId="0" applyFont="1" applyFill="1" applyAlignment="1">
      <alignment horizontal="right"/>
    </xf>
    <xf numFmtId="4" fontId="9" fillId="6" borderId="1" xfId="0" applyNumberFormat="1" applyFont="1" applyFill="1" applyBorder="1"/>
    <xf numFmtId="0" fontId="9" fillId="6" borderId="0" xfId="0" applyFont="1" applyFill="1" applyAlignment="1">
      <alignment horizontal="left" wrapText="1"/>
    </xf>
    <xf numFmtId="0" fontId="9" fillId="6" borderId="0" xfId="0" applyFont="1" applyFill="1" applyAlignment="1">
      <alignment horizontal="right" wrapText="1"/>
    </xf>
    <xf numFmtId="0" fontId="5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5" fillId="5" borderId="0" xfId="0" quotePrefix="1" applyFont="1" applyFill="1"/>
    <xf numFmtId="0" fontId="7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center"/>
    </xf>
    <xf numFmtId="1" fontId="7" fillId="2" borderId="1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2" fontId="13" fillId="0" borderId="0" xfId="1" applyNumberFormat="1" applyFont="1" applyFill="1"/>
    <xf numFmtId="1" fontId="9" fillId="0" borderId="0" xfId="1" applyNumberFormat="1" applyFont="1" applyFill="1"/>
    <xf numFmtId="1" fontId="13" fillId="0" borderId="0" xfId="1" applyNumberFormat="1" applyFont="1" applyFill="1"/>
    <xf numFmtId="165" fontId="9" fillId="0" borderId="0" xfId="1" applyNumberFormat="1" applyFont="1" applyFill="1"/>
    <xf numFmtId="1" fontId="9" fillId="0" borderId="0" xfId="1" applyNumberFormat="1" applyFont="1"/>
    <xf numFmtId="2" fontId="0" fillId="0" borderId="0" xfId="0" applyNumberFormat="1"/>
    <xf numFmtId="2" fontId="9" fillId="2" borderId="13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0" fontId="7" fillId="0" borderId="0" xfId="1" applyFont="1" applyBorder="1"/>
    <xf numFmtId="0" fontId="7" fillId="3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4" xfId="1" applyFont="1" applyBorder="1"/>
    <xf numFmtId="0" fontId="7" fillId="3" borderId="4" xfId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3" borderId="4" xfId="1" applyFont="1" applyFill="1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9" fillId="2" borderId="0" xfId="0" applyFont="1" applyFill="1"/>
    <xf numFmtId="4" fontId="9" fillId="2" borderId="0" xfId="0" applyNumberFormat="1" applyFont="1" applyFill="1"/>
    <xf numFmtId="0" fontId="9" fillId="2" borderId="0" xfId="0" quotePrefix="1" applyFont="1" applyFill="1"/>
    <xf numFmtId="0" fontId="0" fillId="0" borderId="0" xfId="0" applyBorder="1" applyAlignment="1">
      <alignment vertical="top"/>
    </xf>
    <xf numFmtId="0" fontId="7" fillId="4" borderId="0" xfId="0" applyFont="1" applyFill="1" applyBorder="1"/>
    <xf numFmtId="9" fontId="2" fillId="0" borderId="0" xfId="0" applyNumberFormat="1" applyFont="1"/>
    <xf numFmtId="0" fontId="14" fillId="0" borderId="0" xfId="1" applyFont="1"/>
    <xf numFmtId="0" fontId="15" fillId="0" borderId="0" xfId="1" applyFont="1"/>
    <xf numFmtId="1" fontId="15" fillId="0" borderId="0" xfId="1" applyNumberFormat="1" applyFont="1"/>
    <xf numFmtId="2" fontId="7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2" fontId="15" fillId="2" borderId="0" xfId="1" applyNumberFormat="1" applyFont="1" applyFill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7" fillId="2" borderId="0" xfId="1" applyFont="1" applyFill="1" applyBorder="1"/>
    <xf numFmtId="2" fontId="7" fillId="2" borderId="0" xfId="1" applyNumberFormat="1" applyFont="1" applyFill="1" applyBorder="1" applyAlignment="1">
      <alignment horizontal="right"/>
    </xf>
    <xf numFmtId="0" fontId="9" fillId="7" borderId="0" xfId="1" applyFont="1" applyFill="1" applyAlignment="1">
      <alignment horizontal="left"/>
    </xf>
    <xf numFmtId="0" fontId="9" fillId="7" borderId="0" xfId="1" applyFont="1" applyFill="1"/>
    <xf numFmtId="0" fontId="9" fillId="7" borderId="0" xfId="1" applyFont="1" applyFill="1" applyAlignment="1">
      <alignment horizontal="center"/>
    </xf>
    <xf numFmtId="165" fontId="9" fillId="7" borderId="0" xfId="1" applyNumberFormat="1" applyFont="1" applyFill="1"/>
    <xf numFmtId="2" fontId="9" fillId="7" borderId="0" xfId="1" applyNumberFormat="1" applyFont="1" applyFill="1"/>
    <xf numFmtId="0" fontId="0" fillId="0" borderId="0" xfId="0" quotePrefix="1" applyFill="1"/>
    <xf numFmtId="16" fontId="2" fillId="0" borderId="0" xfId="0" quotePrefix="1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right" wrapText="1"/>
    </xf>
    <xf numFmtId="2" fontId="7" fillId="4" borderId="0" xfId="0" applyNumberFormat="1" applyFont="1" applyFill="1"/>
    <xf numFmtId="0" fontId="0" fillId="2" borderId="0" xfId="1" applyFont="1" applyFill="1" applyAlignment="1">
      <alignment horizontal="left"/>
    </xf>
    <xf numFmtId="0" fontId="15" fillId="0" borderId="0" xfId="1" applyFont="1" applyBorder="1"/>
    <xf numFmtId="0" fontId="9" fillId="8" borderId="0" xfId="1" applyFont="1" applyFill="1"/>
    <xf numFmtId="0" fontId="9" fillId="8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1" applyFont="1" applyFill="1" applyBorder="1"/>
    <xf numFmtId="0" fontId="0" fillId="0" borderId="0" xfId="1" applyFont="1" applyFill="1" applyBorder="1" applyAlignment="1">
      <alignment horizontal="left"/>
    </xf>
    <xf numFmtId="0" fontId="7" fillId="0" borderId="4" xfId="1" applyFont="1" applyFill="1" applyBorder="1"/>
    <xf numFmtId="0" fontId="7" fillId="0" borderId="4" xfId="1" applyFont="1" applyFill="1" applyBorder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/>
    <xf numFmtId="0" fontId="16" fillId="4" borderId="0" xfId="0" applyFont="1" applyFill="1" applyAlignment="1">
      <alignment horizontal="right"/>
    </xf>
    <xf numFmtId="0" fontId="0" fillId="0" borderId="0" xfId="1" applyFont="1"/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9" fontId="3" fillId="0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4" fontId="3" fillId="0" borderId="1" xfId="0" applyNumberFormat="1" applyFont="1" applyFill="1" applyBorder="1" applyProtection="1">
      <protection hidden="1"/>
    </xf>
    <xf numFmtId="2" fontId="3" fillId="0" borderId="1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49" fontId="1" fillId="0" borderId="2" xfId="0" applyNumberFormat="1" applyFont="1" applyBorder="1" applyAlignment="1" applyProtection="1">
      <protection locked="0"/>
    </xf>
    <xf numFmtId="49" fontId="1" fillId="0" borderId="7" xfId="0" applyNumberFormat="1" applyFont="1" applyBorder="1" applyAlignment="1" applyProtection="1">
      <protection locked="0"/>
    </xf>
    <xf numFmtId="49" fontId="1" fillId="0" borderId="3" xfId="0" applyNumberFormat="1" applyFont="1" applyBorder="1" applyAlignment="1" applyProtection="1">
      <protection locked="0"/>
    </xf>
    <xf numFmtId="49" fontId="6" fillId="0" borderId="0" xfId="2" applyNumberForma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left"/>
    </xf>
    <xf numFmtId="0" fontId="0" fillId="0" borderId="0" xfId="0" applyAlignment="1">
      <alignment wrapText="1"/>
    </xf>
    <xf numFmtId="4" fontId="1" fillId="0" borderId="2" xfId="0" applyNumberFormat="1" applyFont="1" applyBorder="1" applyAlignment="1" applyProtection="1">
      <protection locked="0"/>
    </xf>
    <xf numFmtId="4" fontId="1" fillId="0" borderId="3" xfId="0" applyNumberFormat="1" applyFont="1" applyBorder="1" applyAlignment="1" applyProtection="1">
      <protection locked="0"/>
    </xf>
    <xf numFmtId="4" fontId="3" fillId="0" borderId="2" xfId="0" applyNumberFormat="1" applyFont="1" applyFill="1" applyBorder="1" applyAlignment="1" applyProtection="1">
      <protection hidden="1"/>
    </xf>
    <xf numFmtId="4" fontId="3" fillId="0" borderId="3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4" fontId="3" fillId="4" borderId="0" xfId="0" applyNumberFormat="1" applyFont="1" applyFill="1" applyBorder="1" applyAlignment="1"/>
    <xf numFmtId="4" fontId="3" fillId="4" borderId="2" xfId="0" applyNumberFormat="1" applyFont="1" applyFill="1" applyBorder="1" applyAlignment="1"/>
    <xf numFmtId="4" fontId="3" fillId="4" borderId="3" xfId="0" applyNumberFormat="1" applyFont="1" applyFill="1" applyBorder="1" applyAlignment="1"/>
    <xf numFmtId="0" fontId="0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0" borderId="0" xfId="1" applyFont="1" applyFill="1" applyAlignment="1"/>
    <xf numFmtId="0" fontId="7" fillId="0" borderId="0" xfId="0" applyFont="1" applyFill="1" applyAlignment="1"/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1" applyFont="1" applyAlignment="1"/>
    <xf numFmtId="0" fontId="0" fillId="0" borderId="20" xfId="1" applyFont="1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3">
    <cellStyle name="Hiperłącze" xfId="2" builtinId="8"/>
    <cellStyle name="Normal 2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OZE_cieplo!$AC$14:$AI$14</c:f>
              <c:numCache>
                <c:formatCode>General</c:formatCode>
                <c:ptCount val="7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OZE_cieplo!$AC$15:$AI$15</c:f>
              <c:numCache>
                <c:formatCode>0</c:formatCode>
                <c:ptCount val="7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61792"/>
        <c:axId val="56163712"/>
      </c:scatterChart>
      <c:valAx>
        <c:axId val="56161792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56163712"/>
        <c:crosses val="autoZero"/>
        <c:crossBetween val="midCat"/>
      </c:valAx>
      <c:valAx>
        <c:axId val="56163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56161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Wiatr na morzu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OZE_en_el!$AV$25:$BD$25</c:f>
              <c:numCache>
                <c:formatCode>General</c:formatCode>
                <c:ptCount val="9"/>
                <c:pt idx="0">
                  <c:v>62.1</c:v>
                </c:pt>
                <c:pt idx="1">
                  <c:v>400</c:v>
                </c:pt>
                <c:pt idx="2">
                  <c:v>630</c:v>
                </c:pt>
              </c:numCache>
            </c:numRef>
          </c:xVal>
          <c:yVal>
            <c:numRef>
              <c:f>OZE_en_el!$AV$26:$BD$26</c:f>
              <c:numCache>
                <c:formatCode>0</c:formatCode>
                <c:ptCount val="9"/>
                <c:pt idx="0">
                  <c:v>483</c:v>
                </c:pt>
                <c:pt idx="1">
                  <c:v>483</c:v>
                </c:pt>
                <c:pt idx="2">
                  <c:v>463.23333333333335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22144"/>
        <c:axId val="90824064"/>
      </c:scatterChart>
      <c:valAx>
        <c:axId val="908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824064"/>
        <c:crosses val="autoZero"/>
        <c:crossBetween val="midCat"/>
      </c:valAx>
      <c:valAx>
        <c:axId val="90824064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822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Fotowoltaika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OZE_en_el!$AV$29:$BD$29</c:f>
              <c:numCache>
                <c:formatCode>General</c:formatCode>
                <c:ptCount val="9"/>
                <c:pt idx="0">
                  <c:v>0.7</c:v>
                </c:pt>
                <c:pt idx="1">
                  <c:v>1.64</c:v>
                </c:pt>
              </c:numCache>
            </c:numRef>
          </c:xVal>
          <c:yVal>
            <c:numRef>
              <c:f>OZE_en_el!$AV$30:$BD$30</c:f>
              <c:numCache>
                <c:formatCode>0.00</c:formatCode>
                <c:ptCount val="9"/>
                <c:pt idx="0">
                  <c:v>817.03846153846155</c:v>
                </c:pt>
                <c:pt idx="1">
                  <c:v>763.89230769230767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5824"/>
        <c:axId val="54261248"/>
      </c:scatterChart>
      <c:valAx>
        <c:axId val="5420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261248"/>
        <c:crosses val="autoZero"/>
        <c:crossBetween val="midCat"/>
      </c:valAx>
      <c:valAx>
        <c:axId val="54261248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54205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dPt>
            <c:idx val="7"/>
            <c:bubble3D val="0"/>
          </c:dPt>
          <c:dPt>
            <c:idx val="10"/>
            <c:bubble3D val="0"/>
          </c:dPt>
          <c:xVal>
            <c:numRef>
              <c:f>OZE_en_el!$AV$33:$BL$33</c:f>
              <c:numCache>
                <c:formatCode>General</c:formatCode>
                <c:ptCount val="17"/>
                <c:pt idx="0">
                  <c:v>10</c:v>
                </c:pt>
                <c:pt idx="1">
                  <c:v>20</c:v>
                </c:pt>
                <c:pt idx="2">
                  <c:v>50</c:v>
                </c:pt>
              </c:numCache>
            </c:numRef>
          </c:xVal>
          <c:yVal>
            <c:numRef>
              <c:f>OZE_en_el!$AV$34:$BL$34</c:f>
              <c:numCache>
                <c:formatCode>0.00</c:formatCode>
                <c:ptCount val="17"/>
                <c:pt idx="0">
                  <c:v>3.8220000000000001</c:v>
                </c:pt>
                <c:pt idx="1">
                  <c:v>3.8220000000000001</c:v>
                </c:pt>
                <c:pt idx="2">
                  <c:v>3.8220000000000001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96160"/>
        <c:axId val="90398080"/>
      </c:scatterChart>
      <c:valAx>
        <c:axId val="903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398080"/>
        <c:crosses val="autoZero"/>
        <c:crossBetween val="midCat"/>
      </c:valAx>
      <c:valAx>
        <c:axId val="90398080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39616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xVal>
            <c:numRef>
              <c:f>OZE_en_el!$AV$37:$BE$37</c:f>
              <c:numCache>
                <c:formatCode>General</c:formatCode>
                <c:ptCount val="10"/>
                <c:pt idx="0">
                  <c:v>0.1</c:v>
                </c:pt>
                <c:pt idx="1">
                  <c:v>0.37</c:v>
                </c:pt>
                <c:pt idx="2">
                  <c:v>0.66</c:v>
                </c:pt>
                <c:pt idx="3">
                  <c:v>1.9</c:v>
                </c:pt>
              </c:numCache>
            </c:numRef>
          </c:xVal>
          <c:yVal>
            <c:numRef>
              <c:f>OZE_en_el!$AV$38:$BE$38</c:f>
              <c:numCache>
                <c:formatCode>0.00</c:formatCode>
                <c:ptCount val="10"/>
                <c:pt idx="0">
                  <c:v>5.7100000000000009</c:v>
                </c:pt>
                <c:pt idx="1">
                  <c:v>5.4670000000000005</c:v>
                </c:pt>
                <c:pt idx="2">
                  <c:v>5.2060000000000004</c:v>
                </c:pt>
                <c:pt idx="3">
                  <c:v>4.7640000000000002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14464"/>
        <c:axId val="90428928"/>
      </c:scatterChart>
      <c:valAx>
        <c:axId val="904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428928"/>
        <c:crosses val="autoZero"/>
        <c:crossBetween val="midCat"/>
        <c:majorUnit val="1"/>
        <c:minorUnit val="0.5"/>
      </c:valAx>
      <c:valAx>
        <c:axId val="90428928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414464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Biogaz składowiska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xVal>
            <c:numRef>
              <c:f>OZE_en_el!$AV$41:$BE$41</c:f>
              <c:numCache>
                <c:formatCode>0.0</c:formatCode>
                <c:ptCount val="10"/>
                <c:pt idx="0">
                  <c:v>0.4</c:v>
                </c:pt>
                <c:pt idx="1">
                  <c:v>0.7</c:v>
                </c:pt>
                <c:pt idx="2">
                  <c:v>1.1399999999999999</c:v>
                </c:pt>
              </c:numCache>
            </c:numRef>
          </c:xVal>
          <c:yVal>
            <c:numRef>
              <c:f>OZE_en_el!$AV$42:$BE$42</c:f>
              <c:numCache>
                <c:formatCode>0.00</c:formatCode>
                <c:ptCount val="10"/>
                <c:pt idx="0">
                  <c:v>5.44</c:v>
                </c:pt>
                <c:pt idx="1">
                  <c:v>5.1700000000000008</c:v>
                </c:pt>
                <c:pt idx="2">
                  <c:v>4.8848888888888888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30624"/>
        <c:axId val="90332544"/>
      </c:scatterChart>
      <c:valAx>
        <c:axId val="903306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90332544"/>
        <c:crosses val="autoZero"/>
        <c:crossBetween val="midCat"/>
        <c:majorUnit val="1"/>
        <c:minorUnit val="0.5"/>
      </c:valAx>
      <c:valAx>
        <c:axId val="90332544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330624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Woda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OZE_en_el!$AV$45:$AX$45</c:f>
              <c:numCache>
                <c:formatCode>0.0</c:formatCode>
                <c:ptCount val="3"/>
                <c:pt idx="0" formatCode="General">
                  <c:v>0.7</c:v>
                </c:pt>
                <c:pt idx="1">
                  <c:v>6.91</c:v>
                </c:pt>
                <c:pt idx="2">
                  <c:v>11</c:v>
                </c:pt>
              </c:numCache>
            </c:numRef>
          </c:xVal>
          <c:yVal>
            <c:numRef>
              <c:f>OZE_en_el!$AV$46:$AX$46</c:f>
              <c:numCache>
                <c:formatCode>0.00</c:formatCode>
                <c:ptCount val="3"/>
                <c:pt idx="0">
                  <c:v>817.03846153846155</c:v>
                </c:pt>
                <c:pt idx="1">
                  <c:v>637.97142857142853</c:v>
                </c:pt>
                <c:pt idx="2">
                  <c:v>596.1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61216"/>
        <c:axId val="90371584"/>
      </c:scatterChart>
      <c:valAx>
        <c:axId val="903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371584"/>
        <c:crosses val="autoZero"/>
        <c:crossBetween val="midCat"/>
      </c:valAx>
      <c:valAx>
        <c:axId val="90371584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361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Pt>
            <c:idx val="8"/>
            <c:bubble3D val="0"/>
          </c:dPt>
          <c:xVal>
            <c:numRef>
              <c:f>OZE_kogen!$AC$21:$AE$21</c:f>
              <c:numCache>
                <c:formatCode>General</c:formatCode>
                <c:ptCount val="3"/>
                <c:pt idx="0">
                  <c:v>5.3</c:v>
                </c:pt>
                <c:pt idx="1">
                  <c:v>20</c:v>
                </c:pt>
                <c:pt idx="2">
                  <c:v>70</c:v>
                </c:pt>
              </c:numCache>
            </c:numRef>
          </c:xVal>
          <c:yVal>
            <c:numRef>
              <c:f>OZE_kogen!$AC$22:$AE$22</c:f>
              <c:numCache>
                <c:formatCode>0.00</c:formatCode>
                <c:ptCount val="3"/>
                <c:pt idx="0">
                  <c:v>0.56429999999999991</c:v>
                </c:pt>
                <c:pt idx="1">
                  <c:v>0.35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91136"/>
        <c:axId val="90492928"/>
      </c:scatterChart>
      <c:valAx>
        <c:axId val="904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492928"/>
        <c:crosses val="autoZero"/>
        <c:crossBetween val="midCat"/>
      </c:valAx>
      <c:valAx>
        <c:axId val="90492928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0491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OZE_kogen!$AC$13:$AI$13</c:f>
              <c:numCache>
                <c:formatCode>General</c:formatCode>
                <c:ptCount val="7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OZE_kogen!$AC$14:$AI$14</c:f>
              <c:numCache>
                <c:formatCode>0</c:formatCode>
                <c:ptCount val="7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73248"/>
        <c:axId val="91175168"/>
      </c:scatterChart>
      <c:valAx>
        <c:axId val="91173248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91175168"/>
        <c:crosses val="autoZero"/>
        <c:crossBetween val="midCat"/>
      </c:valAx>
      <c:valAx>
        <c:axId val="911751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1173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OZE_kogen!$AC$16:$AH$16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OZE_kogen!$AC$17:$AH$17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21632"/>
        <c:axId val="91631616"/>
      </c:scatterChart>
      <c:valAx>
        <c:axId val="91621632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91631616"/>
        <c:crosses val="autoZero"/>
        <c:crossBetween val="midCat"/>
      </c:valAx>
      <c:valAx>
        <c:axId val="9163161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1621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OZE_kogen!$AC$25:$AF$25</c:f>
              <c:numCache>
                <c:formatCode>General</c:formatCode>
                <c:ptCount val="4"/>
                <c:pt idx="0">
                  <c:v>0.12</c:v>
                </c:pt>
                <c:pt idx="1">
                  <c:v>0.44</c:v>
                </c:pt>
                <c:pt idx="2">
                  <c:v>0.74</c:v>
                </c:pt>
                <c:pt idx="3">
                  <c:v>2.0299999999999998</c:v>
                </c:pt>
              </c:numCache>
            </c:numRef>
          </c:xVal>
          <c:yVal>
            <c:numRef>
              <c:f>OZE_kogen!$AC$26:$AF$26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0.91155000000000008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60672"/>
        <c:axId val="91662208"/>
      </c:scatterChart>
      <c:valAx>
        <c:axId val="916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662208"/>
        <c:crosses val="autoZero"/>
        <c:crossBetween val="midCat"/>
      </c:valAx>
      <c:valAx>
        <c:axId val="91662208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1660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OZE_cieplo!$AC$17:$AH$17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OZE_cieplo!$AC$18:$AH$18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61760"/>
        <c:axId val="57063296"/>
      </c:scatterChart>
      <c:valAx>
        <c:axId val="5706176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57063296"/>
        <c:crosses val="autoZero"/>
        <c:crossBetween val="midCat"/>
      </c:valAx>
      <c:valAx>
        <c:axId val="5706329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57061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oczyszczalnie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3"/>
            <c:bubble3D val="0"/>
          </c:dPt>
          <c:xVal>
            <c:numRef>
              <c:f>OZE_kogen!$AC$29:$AE$29</c:f>
              <c:numCache>
                <c:formatCode>General</c:formatCode>
                <c:ptCount val="3"/>
                <c:pt idx="0">
                  <c:v>0.24</c:v>
                </c:pt>
                <c:pt idx="1">
                  <c:v>0.44</c:v>
                </c:pt>
                <c:pt idx="2">
                  <c:v>0.68</c:v>
                </c:pt>
              </c:numCache>
            </c:numRef>
          </c:xVal>
          <c:yVal>
            <c:numRef>
              <c:f>OZE_kogen!$AC$30:$AE$30</c:f>
              <c:numCache>
                <c:formatCode>0.00</c:formatCode>
                <c:ptCount val="3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95360"/>
        <c:axId val="91701248"/>
      </c:scatterChart>
      <c:valAx>
        <c:axId val="916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01248"/>
        <c:crosses val="autoZero"/>
        <c:crossBetween val="midCat"/>
      </c:valAx>
      <c:valAx>
        <c:axId val="9170124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1695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5"/>
            <c:bubble3D val="0"/>
          </c:dPt>
          <c:dPt>
            <c:idx val="7"/>
            <c:marker>
              <c:symbol val="none"/>
            </c:marker>
            <c:bubble3D val="0"/>
          </c:dPt>
          <c:xVal>
            <c:numRef>
              <c:f>high_kogen!$AC$21:$AE$21</c:f>
              <c:numCache>
                <c:formatCode>General</c:formatCode>
                <c:ptCount val="3"/>
                <c:pt idx="0">
                  <c:v>5.3</c:v>
                </c:pt>
                <c:pt idx="1">
                  <c:v>20</c:v>
                </c:pt>
                <c:pt idx="2">
                  <c:v>70</c:v>
                </c:pt>
              </c:numCache>
            </c:numRef>
          </c:xVal>
          <c:yVal>
            <c:numRef>
              <c:f>high_kogen!$AC$22:$AE$22</c:f>
              <c:numCache>
                <c:formatCode>0.00</c:formatCode>
                <c:ptCount val="3"/>
                <c:pt idx="0">
                  <c:v>0.56429999999999991</c:v>
                </c:pt>
                <c:pt idx="1">
                  <c:v>0.35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35040"/>
        <c:axId val="94136576"/>
      </c:scatterChart>
      <c:valAx>
        <c:axId val="9413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136576"/>
        <c:crosses val="autoZero"/>
        <c:crossBetween val="midCat"/>
      </c:valAx>
      <c:valAx>
        <c:axId val="94136576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4135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high_kogen!$AC$13:$AH$13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high_kogen!$AC$14:$AH$14</c:f>
              <c:numCache>
                <c:formatCode>0</c:formatCode>
                <c:ptCount val="6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65632"/>
        <c:axId val="101196544"/>
      </c:scatterChart>
      <c:valAx>
        <c:axId val="94165632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1196544"/>
        <c:crosses val="autoZero"/>
        <c:crossBetween val="midCat"/>
      </c:valAx>
      <c:valAx>
        <c:axId val="1011965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4165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high_kogen!$AC$16:$AH$16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high_kogen!$AC$17:$AH$17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229312"/>
        <c:axId val="101230848"/>
      </c:scatterChart>
      <c:valAx>
        <c:axId val="101229312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1230848"/>
        <c:crosses val="autoZero"/>
        <c:crossBetween val="midCat"/>
      </c:valAx>
      <c:valAx>
        <c:axId val="10123084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1229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high_kogen!$AC$25:$AF$25</c:f>
              <c:numCache>
                <c:formatCode>General</c:formatCode>
                <c:ptCount val="4"/>
                <c:pt idx="0">
                  <c:v>0.12</c:v>
                </c:pt>
                <c:pt idx="1">
                  <c:v>0.44</c:v>
                </c:pt>
                <c:pt idx="2">
                  <c:v>0.74</c:v>
                </c:pt>
                <c:pt idx="3">
                  <c:v>2.0299999999999998</c:v>
                </c:pt>
              </c:numCache>
            </c:numRef>
          </c:xVal>
          <c:yVal>
            <c:numRef>
              <c:f>high_kogen!$AC$26:$AF$26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0.91155000000000008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38432"/>
        <c:axId val="101540224"/>
      </c:scatterChart>
      <c:valAx>
        <c:axId val="10153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40224"/>
        <c:crosses val="autoZero"/>
        <c:crossBetween val="midCat"/>
      </c:valAx>
      <c:valAx>
        <c:axId val="101540224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1538432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oczyszczalnie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high_kogen!$AC$29:$AE$29</c:f>
              <c:numCache>
                <c:formatCode>General</c:formatCode>
                <c:ptCount val="3"/>
                <c:pt idx="0">
                  <c:v>0.24</c:v>
                </c:pt>
                <c:pt idx="1">
                  <c:v>0.44</c:v>
                </c:pt>
                <c:pt idx="2">
                  <c:v>0.68</c:v>
                </c:pt>
              </c:numCache>
            </c:numRef>
          </c:xVal>
          <c:yVal>
            <c:numRef>
              <c:f>high_kogen!$AC$30:$AE$30</c:f>
              <c:numCache>
                <c:formatCode>0.00</c:formatCode>
                <c:ptCount val="3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73376"/>
        <c:axId val="101574912"/>
      </c:scatterChart>
      <c:valAx>
        <c:axId val="1015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74912"/>
        <c:crosses val="autoZero"/>
        <c:crossBetween val="midCat"/>
      </c:valAx>
      <c:valAx>
        <c:axId val="10157491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157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Paliwa kopalne do 20 MW w paliwie</a:t>
            </a:r>
            <a:endParaRPr lang="en-US" sz="1200"/>
          </a:p>
        </c:rich>
      </c:tx>
      <c:layout>
        <c:manualLayout>
          <c:xMode val="edge"/>
          <c:yMode val="edge"/>
          <c:x val="0.29393500042134557"/>
          <c:y val="2.51991960067541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high_kogen!$AC$33:$AI$33</c:f>
              <c:numCache>
                <c:formatCode>General</c:formatCode>
                <c:ptCount val="7"/>
                <c:pt idx="0">
                  <c:v>0.03</c:v>
                </c:pt>
                <c:pt idx="1">
                  <c:v>0.5</c:v>
                </c:pt>
                <c:pt idx="2">
                  <c:v>1.3</c:v>
                </c:pt>
                <c:pt idx="3">
                  <c:v>10.4</c:v>
                </c:pt>
                <c:pt idx="4">
                  <c:v>12.5</c:v>
                </c:pt>
                <c:pt idx="5">
                  <c:v>18.2</c:v>
                </c:pt>
                <c:pt idx="6">
                  <c:v>19.899999999999999</c:v>
                </c:pt>
              </c:numCache>
            </c:numRef>
          </c:xVal>
          <c:yVal>
            <c:numRef>
              <c:f>high_kogen!$AC$34:$AI$34</c:f>
              <c:numCache>
                <c:formatCode>0.00</c:formatCode>
                <c:ptCount val="7"/>
                <c:pt idx="0">
                  <c:v>1.03</c:v>
                </c:pt>
                <c:pt idx="1">
                  <c:v>1.03</c:v>
                </c:pt>
                <c:pt idx="2">
                  <c:v>0.99550000000000005</c:v>
                </c:pt>
                <c:pt idx="3">
                  <c:v>0.46739999999999998</c:v>
                </c:pt>
                <c:pt idx="4">
                  <c:v>0.42749999999999999</c:v>
                </c:pt>
                <c:pt idx="5">
                  <c:v>0.36080000000000001</c:v>
                </c:pt>
                <c:pt idx="6">
                  <c:v>0.35060000000000002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03968"/>
        <c:axId val="101605760"/>
      </c:scatterChart>
      <c:valAx>
        <c:axId val="101603968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101605760"/>
        <c:crosses val="autoZero"/>
        <c:crossBetween val="midCat"/>
      </c:valAx>
      <c:valAx>
        <c:axId val="101605760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1603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dPt>
            <c:idx val="9"/>
            <c:bubble3D val="0"/>
          </c:dPt>
          <c:xVal>
            <c:numRef>
              <c:f>OZE_cieplo!$AC$30:$AF$30</c:f>
              <c:numCache>
                <c:formatCode>General</c:formatCode>
                <c:ptCount val="4"/>
                <c:pt idx="0">
                  <c:v>0.24</c:v>
                </c:pt>
                <c:pt idx="1">
                  <c:v>0.89</c:v>
                </c:pt>
                <c:pt idx="2">
                  <c:v>1.55</c:v>
                </c:pt>
                <c:pt idx="3">
                  <c:v>4.33</c:v>
                </c:pt>
              </c:numCache>
            </c:numRef>
          </c:xVal>
          <c:yVal>
            <c:numRef>
              <c:f>OZE_cieplo!$AC$31:$AF$31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0.96675</c:v>
                </c:pt>
                <c:pt idx="3">
                  <c:v>0.6470499999999999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15296"/>
        <c:axId val="77037568"/>
      </c:scatterChart>
      <c:valAx>
        <c:axId val="770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037568"/>
        <c:crosses val="autoZero"/>
        <c:crossBetween val="midCat"/>
      </c:valAx>
      <c:valAx>
        <c:axId val="7703756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77015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Kolektory słoneczne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OZE_cieplo!$AC$22:$AG$22</c:f>
              <c:numCache>
                <c:formatCode>0.00</c:formatCode>
                <c:ptCount val="5"/>
                <c:pt idx="0" formatCode="General">
                  <c:v>0.43</c:v>
                </c:pt>
                <c:pt idx="1">
                  <c:v>1.54</c:v>
                </c:pt>
              </c:numCache>
            </c:numRef>
          </c:xVal>
          <c:yVal>
            <c:numRef>
              <c:f>OZE_cieplo!$AC$23:$AG$23</c:f>
              <c:numCache>
                <c:formatCode>0.00</c:formatCode>
                <c:ptCount val="5"/>
                <c:pt idx="0">
                  <c:v>131</c:v>
                </c:pt>
                <c:pt idx="1">
                  <c:v>131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58048"/>
        <c:axId val="77059968"/>
      </c:scatterChart>
      <c:valAx>
        <c:axId val="770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059968"/>
        <c:crosses val="autoZero"/>
        <c:crossBetween val="midCat"/>
        <c:majorUnit val="1"/>
      </c:valAx>
      <c:valAx>
        <c:axId val="77059968"/>
        <c:scaling>
          <c:orientation val="minMax"/>
          <c:min val="8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7705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xVal>
            <c:numRef>
              <c:f>OZE_cieplo!$AC$26:$AF$26</c:f>
              <c:numCache>
                <c:formatCode>General</c:formatCode>
                <c:ptCount val="4"/>
                <c:pt idx="0">
                  <c:v>0.2</c:v>
                </c:pt>
                <c:pt idx="1">
                  <c:v>0.5</c:v>
                </c:pt>
                <c:pt idx="2">
                  <c:v>2</c:v>
                </c:pt>
                <c:pt idx="3">
                  <c:v>13</c:v>
                </c:pt>
              </c:numCache>
            </c:numRef>
          </c:xVal>
          <c:yVal>
            <c:numRef>
              <c:f>OZE_cieplo!$AC$27:$AF$27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0.91500000000000004</c:v>
                </c:pt>
                <c:pt idx="3">
                  <c:v>0.41799999999999998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3760"/>
        <c:axId val="57495552"/>
      </c:scatterChart>
      <c:valAx>
        <c:axId val="574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495552"/>
        <c:crosses val="autoZero"/>
        <c:crossBetween val="midCat"/>
        <c:majorUnit val="5"/>
        <c:minorUnit val="1"/>
      </c:valAx>
      <c:valAx>
        <c:axId val="5749555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57493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Geotermia/pompy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0"/>
            <c:bubble3D val="0"/>
          </c:dPt>
          <c:dPt>
            <c:idx val="6"/>
            <c:bubble3D val="0"/>
          </c:dPt>
          <c:xVal>
            <c:numRef>
              <c:f>OZE_cieplo!$AC$34:$AI$34</c:f>
              <c:numCache>
                <c:formatCode>General</c:formatCode>
                <c:ptCount val="7"/>
                <c:pt idx="0">
                  <c:v>2.1</c:v>
                </c:pt>
                <c:pt idx="1">
                  <c:v>31</c:v>
                </c:pt>
                <c:pt idx="2">
                  <c:v>40.700000000000003</c:v>
                </c:pt>
              </c:numCache>
            </c:numRef>
          </c:xVal>
          <c:yVal>
            <c:numRef>
              <c:f>OZE_cieplo!$AC$35:$AI$35</c:f>
              <c:numCache>
                <c:formatCode>0.00</c:formatCode>
                <c:ptCount val="7"/>
                <c:pt idx="0">
                  <c:v>0.90349999999999997</c:v>
                </c:pt>
                <c:pt idx="1">
                  <c:v>0.23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099904"/>
        <c:axId val="91101440"/>
      </c:scatterChart>
      <c:valAx>
        <c:axId val="91099904"/>
        <c:scaling>
          <c:orientation val="minMax"/>
          <c:max val="70"/>
        </c:scaling>
        <c:delete val="0"/>
        <c:axPos val="b"/>
        <c:numFmt formatCode="General" sourceLinked="1"/>
        <c:majorTickMark val="out"/>
        <c:minorTickMark val="none"/>
        <c:tickLblPos val="nextTo"/>
        <c:crossAx val="91101440"/>
        <c:crosses val="autoZero"/>
        <c:crossBetween val="midCat"/>
      </c:valAx>
      <c:valAx>
        <c:axId val="91101440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91099904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  <c:spPr>
              <a:ln>
                <a:noFill/>
              </a:ln>
            </c:spPr>
          </c:dPt>
          <c:xVal>
            <c:numRef>
              <c:f>OZE_en_el!$AV$13:$BF$13</c:f>
              <c:numCache>
                <c:formatCode>General</c:formatCode>
                <c:ptCount val="11"/>
                <c:pt idx="0">
                  <c:v>0.4</c:v>
                </c:pt>
                <c:pt idx="1">
                  <c:v>1</c:v>
                </c:pt>
                <c:pt idx="2">
                  <c:v>10</c:v>
                </c:pt>
                <c:pt idx="3">
                  <c:v>20</c:v>
                </c:pt>
                <c:pt idx="4">
                  <c:v>35</c:v>
                </c:pt>
                <c:pt idx="5">
                  <c:v>49.999999999999901</c:v>
                </c:pt>
                <c:pt idx="6">
                  <c:v>50</c:v>
                </c:pt>
                <c:pt idx="7">
                  <c:v>100</c:v>
                </c:pt>
                <c:pt idx="8">
                  <c:v>200</c:v>
                </c:pt>
                <c:pt idx="9">
                  <c:v>460</c:v>
                </c:pt>
                <c:pt idx="10">
                  <c:v>600</c:v>
                </c:pt>
              </c:numCache>
            </c:numRef>
          </c:xVal>
          <c:yVal>
            <c:numRef>
              <c:f>OZE_en_el!$AV$14:$BF$14</c:f>
              <c:numCache>
                <c:formatCode>0.00</c:formatCode>
                <c:ptCount val="11"/>
                <c:pt idx="0">
                  <c:v>5.44</c:v>
                </c:pt>
                <c:pt idx="1">
                  <c:v>4.9000000000000004</c:v>
                </c:pt>
                <c:pt idx="2">
                  <c:v>3.54</c:v>
                </c:pt>
                <c:pt idx="3">
                  <c:v>3.14</c:v>
                </c:pt>
                <c:pt idx="4">
                  <c:v>2.8</c:v>
                </c:pt>
                <c:pt idx="5">
                  <c:v>2.66</c:v>
                </c:pt>
                <c:pt idx="6">
                  <c:v>3.82</c:v>
                </c:pt>
                <c:pt idx="7">
                  <c:v>3.49</c:v>
                </c:pt>
                <c:pt idx="8">
                  <c:v>2.98</c:v>
                </c:pt>
                <c:pt idx="9">
                  <c:v>2.59</c:v>
                </c:pt>
                <c:pt idx="10">
                  <c:v>2.59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68416"/>
        <c:axId val="90269568"/>
      </c:scatterChart>
      <c:valAx>
        <c:axId val="90268416"/>
        <c:scaling>
          <c:orientation val="minMax"/>
          <c:max val="500"/>
        </c:scaling>
        <c:delete val="0"/>
        <c:axPos val="b"/>
        <c:numFmt formatCode="General" sourceLinked="1"/>
        <c:majorTickMark val="out"/>
        <c:minorTickMark val="none"/>
        <c:tickLblPos val="nextTo"/>
        <c:crossAx val="90269568"/>
        <c:crosses val="autoZero"/>
        <c:crossBetween val="midCat"/>
        <c:majorUnit val="50"/>
        <c:minorUnit val="10"/>
      </c:valAx>
      <c:valAx>
        <c:axId val="902695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268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5"/>
              </a:solidFill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  <c:spPr>
              <a:ln>
                <a:noFill/>
              </a:ln>
            </c:spPr>
          </c:dPt>
          <c:xVal>
            <c:numRef>
              <c:f>OZE_en_el!$AV$16:$BC$16</c:f>
              <c:numCache>
                <c:formatCode>General</c:formatCode>
                <c:ptCount val="8"/>
                <c:pt idx="0">
                  <c:v>0.4</c:v>
                </c:pt>
                <c:pt idx="1">
                  <c:v>3</c:v>
                </c:pt>
                <c:pt idx="2">
                  <c:v>10</c:v>
                </c:pt>
                <c:pt idx="3">
                  <c:v>50</c:v>
                </c:pt>
                <c:pt idx="4">
                  <c:v>200</c:v>
                </c:pt>
                <c:pt idx="5">
                  <c:v>399.99999999999898</c:v>
                </c:pt>
                <c:pt idx="6">
                  <c:v>400</c:v>
                </c:pt>
                <c:pt idx="7">
                  <c:v>1000</c:v>
                </c:pt>
              </c:numCache>
            </c:numRef>
          </c:xVal>
          <c:yVal>
            <c:numRef>
              <c:f>OZE_en_el!$AV$17:$BC$17</c:f>
              <c:numCache>
                <c:formatCode>0</c:formatCode>
                <c:ptCount val="8"/>
                <c:pt idx="0">
                  <c:v>834</c:v>
                </c:pt>
                <c:pt idx="1">
                  <c:v>687</c:v>
                </c:pt>
                <c:pt idx="2">
                  <c:v>599</c:v>
                </c:pt>
                <c:pt idx="3">
                  <c:v>483</c:v>
                </c:pt>
                <c:pt idx="4">
                  <c:v>483</c:v>
                </c:pt>
                <c:pt idx="5">
                  <c:v>483</c:v>
                </c:pt>
                <c:pt idx="6">
                  <c:v>483</c:v>
                </c:pt>
                <c:pt idx="7">
                  <c:v>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06816"/>
        <c:axId val="90771456"/>
      </c:scatterChart>
      <c:valAx>
        <c:axId val="90306816"/>
        <c:scaling>
          <c:orientation val="minMax"/>
          <c:max val="1000"/>
        </c:scaling>
        <c:delete val="0"/>
        <c:axPos val="b"/>
        <c:numFmt formatCode="General" sourceLinked="1"/>
        <c:majorTickMark val="out"/>
        <c:minorTickMark val="none"/>
        <c:tickLblPos val="nextTo"/>
        <c:crossAx val="90771456"/>
        <c:crosses val="autoZero"/>
        <c:crossBetween val="midCat"/>
        <c:majorUnit val="100"/>
        <c:minorUnit val="10"/>
      </c:valAx>
      <c:valAx>
        <c:axId val="907714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306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Wiatr na lądzie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OZE_en_el!$AV$21:$BA$21</c:f>
              <c:numCache>
                <c:formatCode>General</c:formatCode>
                <c:ptCount val="6"/>
                <c:pt idx="0">
                  <c:v>1.5</c:v>
                </c:pt>
                <c:pt idx="1">
                  <c:v>1.6</c:v>
                </c:pt>
                <c:pt idx="2">
                  <c:v>5</c:v>
                </c:pt>
                <c:pt idx="3">
                  <c:v>30</c:v>
                </c:pt>
                <c:pt idx="4">
                  <c:v>38</c:v>
                </c:pt>
                <c:pt idx="5">
                  <c:v>40</c:v>
                </c:pt>
              </c:numCache>
            </c:numRef>
          </c:xVal>
          <c:yVal>
            <c:numRef>
              <c:f>OZE_en_el!$AV$22:$BA$22</c:f>
              <c:numCache>
                <c:formatCode>0</c:formatCode>
                <c:ptCount val="6"/>
                <c:pt idx="0">
                  <c:v>771.80769230769226</c:v>
                </c:pt>
                <c:pt idx="1">
                  <c:v>766.15384615384619</c:v>
                </c:pt>
                <c:pt idx="2">
                  <c:v>661.85714285714289</c:v>
                </c:pt>
                <c:pt idx="3">
                  <c:v>540</c:v>
                </c:pt>
                <c:pt idx="4">
                  <c:v>516.4</c:v>
                </c:pt>
                <c:pt idx="5">
                  <c:v>510.5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04224"/>
        <c:axId val="90806144"/>
      </c:scatterChart>
      <c:valAx>
        <c:axId val="908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806144"/>
        <c:crosses val="autoZero"/>
        <c:crossBetween val="midCat"/>
      </c:valAx>
      <c:valAx>
        <c:axId val="908061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804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603998</xdr:colOff>
      <xdr:row>3</xdr:row>
      <xdr:rowOff>11485</xdr:rowOff>
    </xdr:from>
    <xdr:to>
      <xdr:col>18</xdr:col>
      <xdr:colOff>489698</xdr:colOff>
      <xdr:row>18</xdr:row>
      <xdr:rowOff>187698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33617</xdr:colOff>
      <xdr:row>3</xdr:row>
      <xdr:rowOff>22413</xdr:rowOff>
    </xdr:from>
    <xdr:to>
      <xdr:col>26</xdr:col>
      <xdr:colOff>425824</xdr:colOff>
      <xdr:row>18</xdr:row>
      <xdr:rowOff>179294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595593</xdr:colOff>
      <xdr:row>37</xdr:row>
      <xdr:rowOff>68170</xdr:rowOff>
    </xdr:from>
    <xdr:to>
      <xdr:col>26</xdr:col>
      <xdr:colOff>384550</xdr:colOff>
      <xdr:row>53</xdr:row>
      <xdr:rowOff>44076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31750</xdr:colOff>
      <xdr:row>21</xdr:row>
      <xdr:rowOff>98051</xdr:rowOff>
    </xdr:from>
    <xdr:to>
      <xdr:col>18</xdr:col>
      <xdr:colOff>423957</xdr:colOff>
      <xdr:row>37</xdr:row>
      <xdr:rowOff>73957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593912</xdr:colOff>
      <xdr:row>21</xdr:row>
      <xdr:rowOff>45757</xdr:rowOff>
    </xdr:from>
    <xdr:to>
      <xdr:col>26</xdr:col>
      <xdr:colOff>382869</xdr:colOff>
      <xdr:row>37</xdr:row>
      <xdr:rowOff>21663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598581</xdr:colOff>
      <xdr:row>53</xdr:row>
      <xdr:rowOff>96184</xdr:rowOff>
    </xdr:from>
    <xdr:to>
      <xdr:col>26</xdr:col>
      <xdr:colOff>387538</xdr:colOff>
      <xdr:row>69</xdr:row>
      <xdr:rowOff>73771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17556</xdr:colOff>
      <xdr:row>21</xdr:row>
      <xdr:rowOff>70971</xdr:rowOff>
    </xdr:from>
    <xdr:to>
      <xdr:col>26</xdr:col>
      <xdr:colOff>407895</xdr:colOff>
      <xdr:row>37</xdr:row>
      <xdr:rowOff>62752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549836</xdr:colOff>
      <xdr:row>2</xdr:row>
      <xdr:rowOff>117942</xdr:rowOff>
    </xdr:from>
    <xdr:to>
      <xdr:col>18</xdr:col>
      <xdr:colOff>435536</xdr:colOff>
      <xdr:row>18</xdr:row>
      <xdr:rowOff>103655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1867</xdr:colOff>
      <xdr:row>2</xdr:row>
      <xdr:rowOff>90582</xdr:rowOff>
    </xdr:from>
    <xdr:to>
      <xdr:col>26</xdr:col>
      <xdr:colOff>392206</xdr:colOff>
      <xdr:row>18</xdr:row>
      <xdr:rowOff>56963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31751</xdr:colOff>
      <xdr:row>37</xdr:row>
      <xdr:rowOff>100853</xdr:rowOff>
    </xdr:from>
    <xdr:to>
      <xdr:col>26</xdr:col>
      <xdr:colOff>422090</xdr:colOff>
      <xdr:row>53</xdr:row>
      <xdr:rowOff>76759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31750</xdr:colOff>
      <xdr:row>53</xdr:row>
      <xdr:rowOff>127000</xdr:rowOff>
    </xdr:from>
    <xdr:to>
      <xdr:col>26</xdr:col>
      <xdr:colOff>423957</xdr:colOff>
      <xdr:row>69</xdr:row>
      <xdr:rowOff>102906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28762</xdr:colOff>
      <xdr:row>21</xdr:row>
      <xdr:rowOff>93383</xdr:rowOff>
    </xdr:from>
    <xdr:to>
      <xdr:col>26</xdr:col>
      <xdr:colOff>419101</xdr:colOff>
      <xdr:row>37</xdr:row>
      <xdr:rowOff>69289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41835</xdr:colOff>
      <xdr:row>3</xdr:row>
      <xdr:rowOff>86192</xdr:rowOff>
    </xdr:from>
    <xdr:to>
      <xdr:col>18</xdr:col>
      <xdr:colOff>532653</xdr:colOff>
      <xdr:row>19</xdr:row>
      <xdr:rowOff>71905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</xdr:row>
      <xdr:rowOff>115796</xdr:rowOff>
    </xdr:from>
    <xdr:to>
      <xdr:col>26</xdr:col>
      <xdr:colOff>392207</xdr:colOff>
      <xdr:row>19</xdr:row>
      <xdr:rowOff>82177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15876</xdr:colOff>
      <xdr:row>37</xdr:row>
      <xdr:rowOff>132603</xdr:rowOff>
    </xdr:from>
    <xdr:to>
      <xdr:col>26</xdr:col>
      <xdr:colOff>406215</xdr:colOff>
      <xdr:row>53</xdr:row>
      <xdr:rowOff>108509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31750</xdr:colOff>
      <xdr:row>53</xdr:row>
      <xdr:rowOff>135405</xdr:rowOff>
    </xdr:from>
    <xdr:to>
      <xdr:col>26</xdr:col>
      <xdr:colOff>422089</xdr:colOff>
      <xdr:row>69</xdr:row>
      <xdr:rowOff>111311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15875</xdr:colOff>
      <xdr:row>69</xdr:row>
      <xdr:rowOff>142875</xdr:rowOff>
    </xdr:from>
    <xdr:to>
      <xdr:col>26</xdr:col>
      <xdr:colOff>408082</xdr:colOff>
      <xdr:row>85</xdr:row>
      <xdr:rowOff>118781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356734</xdr:colOff>
      <xdr:row>2</xdr:row>
      <xdr:rowOff>63612</xdr:rowOff>
    </xdr:from>
    <xdr:to>
      <xdr:col>36</xdr:col>
      <xdr:colOff>242434</xdr:colOff>
      <xdr:row>18</xdr:row>
      <xdr:rowOff>49325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472415</xdr:colOff>
      <xdr:row>2</xdr:row>
      <xdr:rowOff>59232</xdr:rowOff>
    </xdr:from>
    <xdr:to>
      <xdr:col>44</xdr:col>
      <xdr:colOff>259504</xdr:colOff>
      <xdr:row>18</xdr:row>
      <xdr:rowOff>25613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430893</xdr:colOff>
      <xdr:row>21</xdr:row>
      <xdr:rowOff>108857</xdr:rowOff>
    </xdr:from>
    <xdr:to>
      <xdr:col>44</xdr:col>
      <xdr:colOff>217982</xdr:colOff>
      <xdr:row>37</xdr:row>
      <xdr:rowOff>88845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421820</xdr:colOff>
      <xdr:row>38</xdr:row>
      <xdr:rowOff>61232</xdr:rowOff>
    </xdr:from>
    <xdr:to>
      <xdr:col>44</xdr:col>
      <xdr:colOff>208909</xdr:colOff>
      <xdr:row>54</xdr:row>
      <xdr:rowOff>41220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435428</xdr:colOff>
      <xdr:row>54</xdr:row>
      <xdr:rowOff>158750</xdr:rowOff>
    </xdr:from>
    <xdr:to>
      <xdr:col>44</xdr:col>
      <xdr:colOff>222517</xdr:colOff>
      <xdr:row>70</xdr:row>
      <xdr:rowOff>138738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374196</xdr:colOff>
      <xdr:row>21</xdr:row>
      <xdr:rowOff>79375</xdr:rowOff>
    </xdr:from>
    <xdr:to>
      <xdr:col>36</xdr:col>
      <xdr:colOff>259896</xdr:colOff>
      <xdr:row>37</xdr:row>
      <xdr:rowOff>78695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376464</xdr:colOff>
      <xdr:row>38</xdr:row>
      <xdr:rowOff>63500</xdr:rowOff>
    </xdr:from>
    <xdr:to>
      <xdr:col>36</xdr:col>
      <xdr:colOff>262164</xdr:colOff>
      <xdr:row>54</xdr:row>
      <xdr:rowOff>62820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344714</xdr:colOff>
      <xdr:row>54</xdr:row>
      <xdr:rowOff>142875</xdr:rowOff>
    </xdr:from>
    <xdr:to>
      <xdr:col>36</xdr:col>
      <xdr:colOff>230414</xdr:colOff>
      <xdr:row>70</xdr:row>
      <xdr:rowOff>142195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438150</xdr:colOff>
      <xdr:row>71</xdr:row>
      <xdr:rowOff>95250</xdr:rowOff>
    </xdr:from>
    <xdr:to>
      <xdr:col>44</xdr:col>
      <xdr:colOff>225239</xdr:colOff>
      <xdr:row>87</xdr:row>
      <xdr:rowOff>75238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zoomScaleNormal="100" zoomScaleSheetLayoutView="70" workbookViewId="0">
      <selection activeCell="E18" sqref="E18:G18"/>
    </sheetView>
  </sheetViews>
  <sheetFormatPr defaultRowHeight="15" x14ac:dyDescent="0.25"/>
  <cols>
    <col min="7" max="7" width="13.28515625" customWidth="1"/>
    <col min="11" max="11" width="12.42578125" bestFit="1" customWidth="1"/>
    <col min="17" max="17" width="11.42578125" bestFit="1" customWidth="1"/>
    <col min="18" max="18" width="10.5703125" bestFit="1" customWidth="1"/>
    <col min="20" max="20" width="9.5703125" customWidth="1"/>
    <col min="25" max="25" width="12.42578125" bestFit="1" customWidth="1"/>
  </cols>
  <sheetData>
    <row r="1" spans="1:20" x14ac:dyDescent="0.25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x14ac:dyDescent="0.25">
      <c r="A2" s="9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5"/>
    </row>
    <row r="3" spans="1:20" x14ac:dyDescent="0.25">
      <c r="A3" s="94" t="s">
        <v>63</v>
      </c>
      <c r="B3" s="10"/>
      <c r="C3" s="10"/>
      <c r="D3" s="202"/>
      <c r="E3" s="203"/>
      <c r="F3" s="203"/>
      <c r="G3" s="203"/>
      <c r="H3" s="203"/>
      <c r="I3" s="203"/>
      <c r="J3" s="204"/>
      <c r="K3" s="10"/>
      <c r="L3" s="10"/>
      <c r="M3" s="207"/>
      <c r="N3" s="207"/>
      <c r="O3" s="10"/>
      <c r="P3" s="10"/>
      <c r="Q3" s="205"/>
      <c r="R3" s="206"/>
      <c r="S3" s="206"/>
      <c r="T3" s="95"/>
    </row>
    <row r="4" spans="1:20" x14ac:dyDescent="0.25">
      <c r="A4" s="9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95"/>
    </row>
    <row r="5" spans="1:20" x14ac:dyDescent="0.25">
      <c r="A5" s="94" t="s">
        <v>64</v>
      </c>
      <c r="B5" s="10"/>
      <c r="C5" s="202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4"/>
      <c r="T5" s="95"/>
    </row>
    <row r="6" spans="1:20" x14ac:dyDescent="0.25">
      <c r="A6" s="9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5"/>
    </row>
    <row r="7" spans="1:20" x14ac:dyDescent="0.25">
      <c r="A7" s="94" t="s">
        <v>159</v>
      </c>
      <c r="B7" s="10"/>
      <c r="C7" s="10"/>
      <c r="D7" s="10"/>
      <c r="E7" s="10"/>
      <c r="F7" s="10"/>
      <c r="G7" s="202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4"/>
      <c r="T7" s="95"/>
    </row>
    <row r="8" spans="1:20" ht="15.75" thickBot="1" x14ac:dyDescent="0.3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</row>
    <row r="10" spans="1:20" x14ac:dyDescent="0.25">
      <c r="A10" s="9" t="s">
        <v>65</v>
      </c>
      <c r="L10" s="9" t="s">
        <v>66</v>
      </c>
    </row>
    <row r="12" spans="1:20" x14ac:dyDescent="0.25">
      <c r="A12" t="s">
        <v>147</v>
      </c>
      <c r="F12" s="209"/>
      <c r="G12" s="210"/>
      <c r="H12" t="s">
        <v>0</v>
      </c>
      <c r="L12" t="s">
        <v>35</v>
      </c>
      <c r="R12" s="196" t="str">
        <f>IF(obliczenia!A24=1,IF(ISNUMBER(obliczenia!N1),obliczenia!N1,""),"")</f>
        <v/>
      </c>
      <c r="S12" s="197"/>
    </row>
    <row r="13" spans="1:20" x14ac:dyDescent="0.25">
      <c r="R13" s="198"/>
      <c r="S13" s="198"/>
    </row>
    <row r="14" spans="1:20" x14ac:dyDescent="0.25">
      <c r="A14" t="s">
        <v>1</v>
      </c>
      <c r="G14" s="191" t="s">
        <v>2</v>
      </c>
      <c r="L14" s="41" t="s">
        <v>158</v>
      </c>
      <c r="R14" s="199">
        <f>F12/obliczenia!L20/IF(OR(obliczenia!M20="MWe",obliczenia!M20="MWt"),1000000,1)</f>
        <v>0</v>
      </c>
      <c r="S14" s="198" t="str">
        <f>S16</f>
        <v>PLN/MWh</v>
      </c>
    </row>
    <row r="15" spans="1:20" x14ac:dyDescent="0.25">
      <c r="R15" s="198"/>
      <c r="S15" s="198"/>
    </row>
    <row r="16" spans="1:20" x14ac:dyDescent="0.25">
      <c r="A16" t="s">
        <v>3</v>
      </c>
      <c r="G16" s="191" t="s">
        <v>2</v>
      </c>
      <c r="L16" s="41" t="s">
        <v>145</v>
      </c>
      <c r="R16" s="200">
        <f>IF(ISNUMBER(obliczenia!N3),obliczenia!N3,"")</f>
        <v>596.1</v>
      </c>
      <c r="S16" s="198" t="str">
        <f>IF(ISNUMBER(R16),obliczenia!M19,"")</f>
        <v>PLN/MWh</v>
      </c>
      <c r="T16" s="2"/>
    </row>
    <row r="17" spans="1:27" x14ac:dyDescent="0.25">
      <c r="R17" s="198"/>
      <c r="S17" s="198"/>
    </row>
    <row r="18" spans="1:27" ht="15" customHeight="1" x14ac:dyDescent="0.25">
      <c r="A18" s="2" t="s">
        <v>110</v>
      </c>
      <c r="E18" s="217" t="s">
        <v>115</v>
      </c>
      <c r="F18" s="218"/>
      <c r="G18" s="219"/>
      <c r="K18" s="188"/>
      <c r="L18" s="145" t="s">
        <v>142</v>
      </c>
      <c r="N18" s="146"/>
      <c r="O18" s="146"/>
      <c r="P18" s="146"/>
      <c r="Q18" s="147"/>
      <c r="R18" s="211">
        <f>IF(ISNUMBER(obliczenia!L21),obliczenia!L21,"")</f>
        <v>6557100</v>
      </c>
      <c r="S18" s="212"/>
      <c r="T18" t="s">
        <v>0</v>
      </c>
    </row>
    <row r="19" spans="1:27" x14ac:dyDescent="0.25">
      <c r="R19" s="197"/>
      <c r="S19" s="197"/>
    </row>
    <row r="20" spans="1:27" x14ac:dyDescent="0.25">
      <c r="L20" s="213" t="str">
        <f>IF(G36="TAK","Różnica nakładów pomiędzy instalacją referencyjną a instalacją planowaną (Koszty kwalifikowane):","Wydatki kwalifikowane na instalację planowaną:")</f>
        <v>Różnica nakładów pomiędzy instalacją referencyjną a instalacją planowaną (Koszty kwalifikowane):</v>
      </c>
      <c r="M20" s="213"/>
      <c r="N20" s="213"/>
      <c r="O20" s="213"/>
      <c r="P20" s="213"/>
      <c r="Q20" s="213"/>
      <c r="R20" s="201"/>
      <c r="S20" s="201"/>
      <c r="T20" s="10"/>
      <c r="V20" s="134"/>
    </row>
    <row r="21" spans="1:27" ht="15" customHeight="1" x14ac:dyDescent="0.25">
      <c r="A21" t="s">
        <v>36</v>
      </c>
      <c r="L21" s="213"/>
      <c r="M21" s="213"/>
      <c r="N21" s="213"/>
      <c r="O21" s="213"/>
      <c r="P21" s="213"/>
      <c r="Q21" s="213"/>
      <c r="R21" s="211">
        <f>IF(G36="TAK",IF(ISNUMBER(R16),obliczenia!N6,""),F12)</f>
        <v>0</v>
      </c>
      <c r="S21" s="212"/>
      <c r="T21" s="2" t="s">
        <v>0</v>
      </c>
    </row>
    <row r="22" spans="1:27" x14ac:dyDescent="0.25">
      <c r="A22" t="s">
        <v>44</v>
      </c>
      <c r="E22" s="214" t="s">
        <v>38</v>
      </c>
      <c r="F22" s="215"/>
      <c r="G22" s="216"/>
      <c r="H22" s="153"/>
      <c r="R22" s="197"/>
      <c r="S22" s="197"/>
    </row>
    <row r="23" spans="1:27" x14ac:dyDescent="0.25">
      <c r="N23" s="146"/>
      <c r="O23" s="146"/>
      <c r="P23" s="146"/>
      <c r="Q23" s="151"/>
      <c r="R23" s="201"/>
      <c r="S23" s="197"/>
    </row>
    <row r="24" spans="1:27" x14ac:dyDescent="0.25">
      <c r="A24" t="s">
        <v>45</v>
      </c>
      <c r="E24" s="214" t="s">
        <v>123</v>
      </c>
      <c r="F24" s="215"/>
      <c r="G24" s="216"/>
      <c r="L24" s="146" t="s">
        <v>149</v>
      </c>
      <c r="M24" s="146"/>
      <c r="N24" s="146"/>
      <c r="O24" s="146"/>
      <c r="P24" s="146"/>
      <c r="Q24" s="147"/>
      <c r="R24" s="211" t="str">
        <f>IF(obliczenia!A24=1,IF(ISNUMBER(obliczenia!N8),obliczenia!N8,""),"")</f>
        <v/>
      </c>
      <c r="S24" s="212"/>
      <c r="T24" s="2" t="s">
        <v>0</v>
      </c>
    </row>
    <row r="25" spans="1:27" ht="15" customHeight="1" x14ac:dyDescent="0.25"/>
    <row r="26" spans="1:27" x14ac:dyDescent="0.25">
      <c r="A26" t="s">
        <v>46</v>
      </c>
      <c r="D26" s="2"/>
      <c r="E26" s="192">
        <v>5</v>
      </c>
      <c r="F26" s="173" t="s">
        <v>26</v>
      </c>
      <c r="G26" s="192"/>
      <c r="H26" s="173" t="s">
        <v>15</v>
      </c>
      <c r="U26" s="8"/>
      <c r="V26" s="56"/>
    </row>
    <row r="27" spans="1:27" x14ac:dyDescent="0.25">
      <c r="D27" s="2"/>
      <c r="E27" s="174" t="str">
        <f>IF(obliczenia!A21=1,"nie dotyczy",IF(obliczenia!A21=2,IF(OR(obliczenia!D21=4,obliczenia!D21=5,obliczenia!D21=6),"od 0,05",IF(obliczenia!D21=7,"mniej niż 5","")),""))</f>
        <v/>
      </c>
      <c r="F27" s="2"/>
      <c r="G27" s="174" t="str">
        <f>IF(obliczenia!A21=2,"nie dotyczy","")</f>
        <v>nie dotyczy</v>
      </c>
      <c r="H27" s="2"/>
      <c r="V27" s="75"/>
      <c r="W27" s="75"/>
    </row>
    <row r="28" spans="1:27" x14ac:dyDescent="0.25">
      <c r="D28" s="2"/>
      <c r="E28" s="2"/>
      <c r="F28" s="2"/>
      <c r="G28" s="2"/>
      <c r="H28" s="2"/>
      <c r="T28" s="2"/>
      <c r="V28" s="75"/>
      <c r="W28" s="75"/>
    </row>
    <row r="29" spans="1:27" x14ac:dyDescent="0.25">
      <c r="A29" t="s">
        <v>143</v>
      </c>
      <c r="D29" s="2"/>
      <c r="E29" s="2"/>
      <c r="F29" s="2"/>
      <c r="G29" s="2"/>
      <c r="H29" s="2"/>
      <c r="R29" s="2"/>
      <c r="S29" s="2"/>
    </row>
    <row r="30" spans="1:27" ht="15" customHeight="1" x14ac:dyDescent="0.25">
      <c r="C30" s="1" t="s">
        <v>42</v>
      </c>
      <c r="D30" s="193">
        <v>11000</v>
      </c>
      <c r="E30" s="175" t="s">
        <v>43</v>
      </c>
      <c r="F30" s="176" t="s">
        <v>41</v>
      </c>
      <c r="G30" s="193"/>
      <c r="H30" s="173" t="s">
        <v>47</v>
      </c>
    </row>
    <row r="31" spans="1:27" x14ac:dyDescent="0.25">
      <c r="D31" s="174" t="str">
        <f>IF(obliczenia!A21=1,"nie dotyczy",IF(obliczenia!A21=2,IF(OR(obliczenia!D21=1,obliczenia!D21=3,obliczenia!D21=7,obliczenia!D21=8),"od 400",IF(obliczenia!D21=2,"od 50 000","")),""))</f>
        <v>od 400</v>
      </c>
      <c r="E31" s="2"/>
      <c r="F31" s="2"/>
      <c r="G31" s="174" t="str">
        <f>IF(obliczenia!A21=2,"nie dotyczy","")</f>
        <v>nie dotyczy</v>
      </c>
      <c r="H31" s="2"/>
      <c r="M31" t="s">
        <v>157</v>
      </c>
      <c r="T31" s="187"/>
    </row>
    <row r="32" spans="1:27" x14ac:dyDescent="0.25">
      <c r="H32" s="2"/>
      <c r="N32" s="187"/>
      <c r="O32" s="187"/>
      <c r="P32" s="187"/>
      <c r="Q32" s="187"/>
      <c r="R32" s="187"/>
      <c r="S32" s="187"/>
      <c r="T32" s="187"/>
      <c r="X32" s="74"/>
      <c r="Y32" s="74"/>
      <c r="Z32" s="74"/>
      <c r="AA32" s="25"/>
    </row>
    <row r="33" spans="1:27" x14ac:dyDescent="0.25">
      <c r="A33" t="s">
        <v>151</v>
      </c>
      <c r="D33" s="194"/>
      <c r="E33" s="2" t="s">
        <v>152</v>
      </c>
      <c r="F33" s="2"/>
      <c r="G33" s="174"/>
      <c r="H33" s="2"/>
      <c r="M33" s="208" t="s">
        <v>148</v>
      </c>
      <c r="N33" s="208"/>
      <c r="O33" s="208"/>
      <c r="P33" s="208"/>
      <c r="Q33" s="208"/>
      <c r="R33" s="208"/>
      <c r="S33" s="208"/>
      <c r="T33" s="208"/>
      <c r="X33" s="74"/>
      <c r="Y33" s="74"/>
      <c r="Z33" s="74"/>
      <c r="AA33" s="74"/>
    </row>
    <row r="34" spans="1:27" x14ac:dyDescent="0.25">
      <c r="D34" s="182" t="str">
        <f>IF(AND(obliczenia!A21=4,obliczenia!D21=4),"do 20",IF(OR(obliczenia!A21=1,obliczenia!A21=2,obliczenia!A21=3,obliczenia!A21=4),"nie dotyczy",""))</f>
        <v>nie dotyczy</v>
      </c>
      <c r="E34" s="2"/>
      <c r="F34" s="2"/>
      <c r="G34" s="2"/>
      <c r="H34" s="2"/>
      <c r="M34" s="208"/>
      <c r="N34" s="208"/>
      <c r="O34" s="208"/>
      <c r="P34" s="208"/>
      <c r="Q34" s="208"/>
      <c r="R34" s="208"/>
      <c r="S34" s="208"/>
      <c r="T34" s="208"/>
      <c r="X34" s="76"/>
      <c r="Y34" s="76"/>
      <c r="Z34" s="76"/>
      <c r="AA34" s="76"/>
    </row>
    <row r="35" spans="1:27" x14ac:dyDescent="0.25">
      <c r="D35" s="2"/>
      <c r="E35" s="2"/>
      <c r="F35" s="2"/>
      <c r="G35" s="2"/>
      <c r="H35" s="2"/>
    </row>
    <row r="36" spans="1:27" x14ac:dyDescent="0.25">
      <c r="A36" s="2" t="s">
        <v>150</v>
      </c>
      <c r="B36" s="2"/>
      <c r="C36" s="2"/>
      <c r="D36" s="2"/>
      <c r="E36" s="2"/>
      <c r="F36" s="2"/>
      <c r="G36" s="195" t="s">
        <v>146</v>
      </c>
    </row>
  </sheetData>
  <sheetProtection password="F988" sheet="1" objects="1" scenarios="1"/>
  <mergeCells count="14">
    <mergeCell ref="M33:T34"/>
    <mergeCell ref="F12:G12"/>
    <mergeCell ref="R24:S24"/>
    <mergeCell ref="L20:Q21"/>
    <mergeCell ref="R18:S18"/>
    <mergeCell ref="E22:G22"/>
    <mergeCell ref="E24:G24"/>
    <mergeCell ref="R21:S21"/>
    <mergeCell ref="E18:G18"/>
    <mergeCell ref="C5:S5"/>
    <mergeCell ref="G7:S7"/>
    <mergeCell ref="Q3:S3"/>
    <mergeCell ref="M3:N3"/>
    <mergeCell ref="D3:J3"/>
  </mergeCells>
  <dataValidations count="2">
    <dataValidation type="decimal" operator="greaterThan" allowBlank="1" showInputMessage="1" showErrorMessage="1" errorTitle="Błąd" error="Nieprawidłowa wartość._x000a_Proszę wprowadzić liczbę." sqref="F12:G12">
      <formula1>0</formula1>
    </dataValidation>
    <dataValidation type="list" allowBlank="1" showInputMessage="1" showErrorMessage="1" errorTitle="Błąd" error="Nieprawidłowa wartość." sqref="G36">
      <formula1>"TAK,NIE"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Błąd" error="Nieprawidłowa wartość._x000a_Proszę wybrać wartość z listy.">
          <x14:formula1>
            <xm:f>obliczenia!$A$13:$A$16</xm:f>
          </x14:formula1>
          <xm:sqref>E22:G22</xm:sqref>
        </x14:dataValidation>
        <x14:dataValidation type="list" allowBlank="1" showInputMessage="1" showErrorMessage="1" errorTitle="Błąd" error="Nieprawidłowa wartość._x000a_Proszę wybrać wartość z listy.">
          <x14:formula1>
            <xm:f>obliczenia!$D$13:$D$20</xm:f>
          </x14:formula1>
          <xm:sqref>E24:G24</xm:sqref>
        </x14:dataValidation>
        <x14:dataValidation type="list" allowBlank="1" showInputMessage="1" showErrorMessage="1" errorTitle="Błąd" error="Nieprawidłowa wartość.">
          <x14:formula1>
            <xm:f>obliczenia!$F$23:$F$24</xm:f>
          </x14:formula1>
          <xm:sqref>G16</xm:sqref>
        </x14:dataValidation>
        <x14:dataValidation type="list" allowBlank="1" showInputMessage="1" showErrorMessage="1" errorTitle="Błąd" error="Nieprawidłowa wartość.">
          <x14:formula1>
            <xm:f>obliczenia!$E$23:$E$24</xm:f>
          </x14:formula1>
          <xm:sqref>G14</xm:sqref>
        </x14:dataValidation>
        <x14:dataValidation type="list" allowBlank="1" showInputMessage="1" showErrorMessage="1" errorTitle="Błąd" error="Nieprawidłowa wartość._x000a_Proszę wybrać wartość z listy.">
          <x14:formula1>
            <xm:f>obliczenia!$I$23:$I$38</xm:f>
          </x14:formula1>
          <xm:sqref>E18:G18</xm:sqref>
        </x14:dataValidation>
        <x14:dataValidation type="decimal" allowBlank="1" showInputMessage="1" showErrorMessage="1" errorTitle="Błąd." error="Nieprawidłowa wartość._x000a_Proszę wprowadzić liczbę lub zostawić puste pole.">
          <x14:formula1>
            <xm:f>obliczenia!E33</xm:f>
          </x14:formula1>
          <x14:formula2>
            <xm:f>obliczenia!E34</xm:f>
          </x14:formula2>
          <xm:sqref>D33</xm:sqref>
        </x14:dataValidation>
        <x14:dataValidation type="decimal" allowBlank="1" showInputMessage="1" showErrorMessage="1" errorTitle="Błąd" error="Nieprawidłowa wartość._x000a_Proszę wprowadzić liczbę lub zostawić puste pole.">
          <x14:formula1>
            <xm:f>obliczenia!D26</xm:f>
          </x14:formula1>
          <x14:formula2>
            <xm:f>obliczenia!D27</xm:f>
          </x14:formula2>
          <xm:sqref>E26 D30 G26 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B1" sqref="B1"/>
    </sheetView>
  </sheetViews>
  <sheetFormatPr defaultRowHeight="15" x14ac:dyDescent="0.25"/>
  <cols>
    <col min="1" max="2" width="9.140625" style="13"/>
    <col min="3" max="3" width="19.85546875" style="13" bestFit="1" customWidth="1"/>
    <col min="4" max="4" width="11.42578125" style="13" customWidth="1"/>
    <col min="5" max="5" width="9.140625" style="13" customWidth="1"/>
    <col min="6" max="6" width="9.140625" style="13"/>
    <col min="7" max="7" width="13.5703125" style="13" customWidth="1"/>
    <col min="8" max="8" width="9.140625" style="13"/>
    <col min="9" max="9" width="27.42578125" style="13" customWidth="1"/>
    <col min="10" max="11" width="9.140625" style="13"/>
    <col min="12" max="12" width="15" style="13" customWidth="1"/>
    <col min="13" max="16384" width="9.140625" style="13"/>
  </cols>
  <sheetData>
    <row r="1" spans="1:18" x14ac:dyDescent="0.25">
      <c r="A1" s="3" t="s">
        <v>4</v>
      </c>
      <c r="B1" s="3"/>
      <c r="C1" s="3"/>
      <c r="D1" s="3"/>
      <c r="E1" s="3"/>
      <c r="F1" s="3"/>
      <c r="G1" s="3"/>
      <c r="H1" s="3"/>
      <c r="I1" s="3"/>
      <c r="J1" s="12" t="s">
        <v>35</v>
      </c>
      <c r="K1" s="12"/>
      <c r="L1" s="12"/>
      <c r="M1" s="12"/>
      <c r="N1" s="11">
        <f>G5</f>
        <v>0.6</v>
      </c>
      <c r="O1" s="12"/>
      <c r="P1" s="12"/>
      <c r="Q1" s="12"/>
    </row>
    <row r="2" spans="1:18" x14ac:dyDescent="0.25">
      <c r="A2" s="3" t="s">
        <v>5</v>
      </c>
      <c r="B2" s="3"/>
      <c r="C2" s="3"/>
      <c r="D2" s="3"/>
      <c r="E2" s="3"/>
      <c r="F2" s="3"/>
      <c r="G2" s="4">
        <f>IF(interface!G36="TAK",45%,30%)</f>
        <v>0.45</v>
      </c>
      <c r="H2" s="3"/>
      <c r="I2" s="3"/>
      <c r="J2" s="12"/>
      <c r="K2" s="12"/>
      <c r="L2" s="12"/>
      <c r="M2" s="12"/>
      <c r="N2" s="12"/>
      <c r="O2" s="12"/>
      <c r="P2" s="12"/>
      <c r="Q2" s="12"/>
    </row>
    <row r="3" spans="1:18" x14ac:dyDescent="0.25">
      <c r="A3" s="5" t="s">
        <v>144</v>
      </c>
      <c r="B3" s="3"/>
      <c r="C3" s="3"/>
      <c r="D3" s="3"/>
      <c r="E3" s="3"/>
      <c r="F3" s="3"/>
      <c r="G3" s="4">
        <f>IF(interface!G14="TAK",20%,IF(interface!G16="TAK",10%,0))</f>
        <v>0</v>
      </c>
      <c r="H3" s="3"/>
      <c r="I3" s="3"/>
      <c r="J3" s="87" t="s">
        <v>95</v>
      </c>
      <c r="K3" s="12"/>
      <c r="L3" s="12"/>
      <c r="M3" s="12"/>
      <c r="N3" s="14">
        <f>IF(interface!E26+interface!G26+interface!D30+interface!G30&gt;0,L19,"")</f>
        <v>596.1</v>
      </c>
      <c r="O3" s="12" t="str">
        <f>M19</f>
        <v>PLN/MWh</v>
      </c>
      <c r="P3" s="12"/>
      <c r="Q3" s="12"/>
    </row>
    <row r="4" spans="1:18" x14ac:dyDescent="0.25">
      <c r="A4" s="5" t="s">
        <v>98</v>
      </c>
      <c r="B4" s="3"/>
      <c r="C4" s="3"/>
      <c r="D4" s="3"/>
      <c r="E4" s="3"/>
      <c r="F4" s="3"/>
      <c r="G4" s="6">
        <f>IF(I39=0,0,IF(I39=7,5%,15%))</f>
        <v>0.15</v>
      </c>
      <c r="H4" s="3"/>
      <c r="I4" s="3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3"/>
      <c r="B5" s="3"/>
      <c r="C5" s="3"/>
      <c r="D5" s="3"/>
      <c r="E5" s="3"/>
      <c r="F5" s="3"/>
      <c r="G5" s="4">
        <f>SUM(G2:G4)</f>
        <v>0.6</v>
      </c>
      <c r="H5" s="3"/>
      <c r="I5" s="3"/>
      <c r="J5" s="220" t="str">
        <f>IF(interface!G36="TAK","Różnica nakładów pomiędzy instalacją referencyjną a instalacją planowaną:","Wydatki kwalifikowane na instalację planowaną:")</f>
        <v>Różnica nakładów pomiędzy instalacją referencyjną a instalacją planowaną:</v>
      </c>
      <c r="K5" s="221"/>
      <c r="L5" s="221"/>
      <c r="M5" s="221"/>
      <c r="N5" s="222"/>
      <c r="O5" s="222"/>
      <c r="P5" s="12"/>
      <c r="Q5" s="12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221"/>
      <c r="K6" s="221"/>
      <c r="L6" s="221"/>
      <c r="M6" s="221"/>
      <c r="N6" s="223">
        <f>IF(L22&gt;0,L22,0)</f>
        <v>0</v>
      </c>
      <c r="O6" s="224"/>
      <c r="P6" s="12" t="s">
        <v>0</v>
      </c>
      <c r="Q6" s="12"/>
    </row>
    <row r="7" spans="1:18" x14ac:dyDescent="0.25">
      <c r="A7" s="148"/>
      <c r="B7" s="148"/>
      <c r="C7" s="148"/>
      <c r="D7" s="148"/>
      <c r="E7" s="148"/>
      <c r="F7" s="148"/>
      <c r="G7" s="149"/>
      <c r="H7" s="148"/>
      <c r="I7" s="148"/>
      <c r="J7" s="12"/>
      <c r="K7" s="12"/>
      <c r="L7" s="12"/>
      <c r="M7" s="12"/>
      <c r="N7" s="12"/>
      <c r="O7" s="12"/>
      <c r="P7" s="12"/>
      <c r="Q7" s="12"/>
    </row>
    <row r="8" spans="1:18" x14ac:dyDescent="0.25">
      <c r="A8" s="150"/>
      <c r="B8" s="148"/>
      <c r="C8" s="148"/>
      <c r="D8" s="148"/>
      <c r="E8" s="148"/>
      <c r="F8" s="148"/>
      <c r="G8" s="149"/>
      <c r="H8" s="148"/>
      <c r="I8" s="148"/>
      <c r="J8" s="225" t="s">
        <v>141</v>
      </c>
      <c r="K8" s="226"/>
      <c r="L8" s="226"/>
      <c r="M8" s="227"/>
      <c r="N8" s="223">
        <f>N1*N6</f>
        <v>0</v>
      </c>
      <c r="O8" s="224"/>
      <c r="P8" s="12" t="s">
        <v>0</v>
      </c>
      <c r="Q8" s="12"/>
    </row>
    <row r="9" spans="1:18" x14ac:dyDescent="0.25">
      <c r="A9" s="5"/>
      <c r="B9" s="3"/>
      <c r="C9" s="3"/>
      <c r="D9" s="3"/>
      <c r="E9" s="3"/>
      <c r="F9" s="3"/>
      <c r="G9" s="7"/>
      <c r="H9" s="3"/>
      <c r="I9" s="3"/>
      <c r="J9" s="226"/>
      <c r="K9" s="226"/>
      <c r="L9" s="226"/>
      <c r="M9" s="227"/>
      <c r="N9" s="152"/>
      <c r="O9" s="12"/>
      <c r="P9" s="12"/>
      <c r="Q9" s="87"/>
    </row>
    <row r="10" spans="1:18" x14ac:dyDescent="0.25">
      <c r="A10" s="5"/>
      <c r="B10" s="3"/>
      <c r="C10" s="3"/>
      <c r="D10" s="3"/>
      <c r="E10" s="3"/>
      <c r="F10" s="3"/>
      <c r="G10" s="7"/>
      <c r="H10" s="3"/>
      <c r="I10" s="3"/>
      <c r="J10" s="12"/>
      <c r="K10" s="12"/>
      <c r="L10" s="12"/>
      <c r="M10" s="12"/>
      <c r="N10" s="12"/>
      <c r="O10" s="12"/>
      <c r="P10" s="12"/>
      <c r="Q10" s="12"/>
    </row>
    <row r="11" spans="1:18" x14ac:dyDescent="0.25">
      <c r="A11" s="3"/>
      <c r="B11" s="3"/>
      <c r="C11" s="3"/>
      <c r="D11" s="3"/>
      <c r="E11" s="3"/>
      <c r="F11" s="3"/>
      <c r="G11" s="3"/>
      <c r="H11" s="3"/>
      <c r="I11" s="3"/>
      <c r="J11" s="12"/>
      <c r="K11" s="12"/>
      <c r="L11" s="12"/>
      <c r="M11" s="12"/>
      <c r="N11" s="12"/>
      <c r="O11" s="12"/>
      <c r="P11" s="12"/>
      <c r="Q11" s="12"/>
      <c r="R11" s="39"/>
    </row>
    <row r="12" spans="1:18" x14ac:dyDescent="0.25">
      <c r="A12" s="119" t="s">
        <v>99</v>
      </c>
      <c r="B12" s="119"/>
      <c r="C12" s="119"/>
      <c r="D12" s="119"/>
      <c r="E12" s="119"/>
      <c r="F12" s="119"/>
      <c r="G12" s="119"/>
      <c r="H12" s="119"/>
      <c r="I12" s="119"/>
      <c r="J12" s="12"/>
      <c r="K12" s="12"/>
      <c r="L12" s="12"/>
      <c r="M12" s="12"/>
      <c r="N12" s="12"/>
      <c r="O12" s="12"/>
      <c r="P12" s="12"/>
      <c r="Q12" s="12"/>
    </row>
    <row r="13" spans="1:18" x14ac:dyDescent="0.25">
      <c r="A13" s="119" t="s">
        <v>37</v>
      </c>
      <c r="B13" s="119"/>
      <c r="C13" s="119"/>
      <c r="D13" s="119" t="str">
        <f t="shared" ref="D13:D20" si="0">IF(A$21=0,"",CHOOSE(A$21,F13,G13,H13,I13))</f>
        <v>elektrownia wiatrowa na lądzie</v>
      </c>
      <c r="E13" s="119"/>
      <c r="F13" s="120" t="s">
        <v>119</v>
      </c>
      <c r="G13" s="120" t="s">
        <v>123</v>
      </c>
      <c r="H13" s="120" t="s">
        <v>128</v>
      </c>
      <c r="I13" s="120" t="s">
        <v>128</v>
      </c>
      <c r="J13" s="12"/>
      <c r="K13" s="12"/>
      <c r="L13" s="12"/>
      <c r="M13" s="12"/>
      <c r="N13" s="12"/>
      <c r="O13" s="12"/>
      <c r="P13" s="12"/>
      <c r="Q13" s="12"/>
    </row>
    <row r="14" spans="1:18" x14ac:dyDescent="0.25">
      <c r="A14" s="119" t="s">
        <v>38</v>
      </c>
      <c r="B14" s="119"/>
      <c r="C14" s="119"/>
      <c r="D14" s="119" t="str">
        <f t="shared" si="0"/>
        <v>elektrownia wiatrowa na morzu</v>
      </c>
      <c r="E14" s="119"/>
      <c r="F14" s="120" t="s">
        <v>120</v>
      </c>
      <c r="G14" s="120" t="s">
        <v>118</v>
      </c>
      <c r="H14" s="120" t="s">
        <v>129</v>
      </c>
      <c r="I14" s="120" t="s">
        <v>129</v>
      </c>
      <c r="J14" s="60"/>
      <c r="K14" s="12"/>
      <c r="L14" s="12"/>
      <c r="M14" s="12"/>
      <c r="N14" s="12"/>
      <c r="O14" s="12"/>
      <c r="P14" s="12"/>
      <c r="Q14" s="12"/>
    </row>
    <row r="15" spans="1:18" x14ac:dyDescent="0.25">
      <c r="A15" s="119" t="s">
        <v>39</v>
      </c>
      <c r="B15" s="119"/>
      <c r="C15" s="119"/>
      <c r="D15" s="119" t="str">
        <f t="shared" si="0"/>
        <v>elektrownia fotowoltaiczna</v>
      </c>
      <c r="E15" s="119"/>
      <c r="F15" s="120" t="s">
        <v>121</v>
      </c>
      <c r="G15" s="120" t="s">
        <v>124</v>
      </c>
      <c r="H15" s="120" t="s">
        <v>132</v>
      </c>
      <c r="I15" s="120" t="s">
        <v>132</v>
      </c>
      <c r="J15" s="60"/>
      <c r="K15" s="61"/>
      <c r="L15" s="62" t="str">
        <f>OZE_cieplo!D40</f>
        <v/>
      </c>
      <c r="M15" s="63" t="str">
        <f>OZE_cieplo!E40</f>
        <v/>
      </c>
      <c r="N15" s="12"/>
      <c r="O15" s="12"/>
      <c r="P15" s="12"/>
      <c r="Q15" s="12"/>
    </row>
    <row r="16" spans="1:18" x14ac:dyDescent="0.25">
      <c r="A16" s="119" t="s">
        <v>40</v>
      </c>
      <c r="B16" s="119"/>
      <c r="C16" s="119"/>
      <c r="D16" s="119" t="str">
        <f t="shared" si="0"/>
        <v>elektrownia biomasowa</v>
      </c>
      <c r="E16" s="119"/>
      <c r="F16" s="120" t="s">
        <v>122</v>
      </c>
      <c r="G16" s="120" t="s">
        <v>125</v>
      </c>
      <c r="H16" s="120" t="s">
        <v>22</v>
      </c>
      <c r="I16" s="120" t="s">
        <v>153</v>
      </c>
      <c r="J16" s="60"/>
      <c r="K16" s="61"/>
      <c r="L16" s="64">
        <f>OZE_en_el!D40</f>
        <v>596.1</v>
      </c>
      <c r="M16" s="65" t="str">
        <f>OZE_en_el!E40</f>
        <v>PLN/MWh</v>
      </c>
      <c r="N16" s="12"/>
      <c r="O16" s="12"/>
      <c r="P16" s="12"/>
      <c r="Q16" s="12"/>
    </row>
    <row r="17" spans="1:17" x14ac:dyDescent="0.25">
      <c r="A17" s="119"/>
      <c r="B17" s="119"/>
      <c r="C17" s="119"/>
      <c r="D17" s="119" t="str">
        <f t="shared" si="0"/>
        <v>elektrownia na biogaz rolniczy</v>
      </c>
      <c r="E17" s="119"/>
      <c r="F17" s="120" t="s">
        <v>22</v>
      </c>
      <c r="G17" s="120" t="s">
        <v>126</v>
      </c>
      <c r="H17" s="120" t="str">
        <f>""</f>
        <v/>
      </c>
      <c r="I17" s="120" t="s">
        <v>22</v>
      </c>
      <c r="J17" s="60"/>
      <c r="K17" s="61"/>
      <c r="L17" s="64" t="str">
        <f>OZE_kogen!D40</f>
        <v/>
      </c>
      <c r="M17" s="65" t="str">
        <f>OZE_kogen!E40</f>
        <v/>
      </c>
      <c r="N17" s="12"/>
      <c r="O17" s="12"/>
      <c r="P17" s="12"/>
      <c r="Q17" s="12"/>
    </row>
    <row r="18" spans="1:17" x14ac:dyDescent="0.25">
      <c r="A18" s="119"/>
      <c r="B18" s="119"/>
      <c r="C18" s="119"/>
      <c r="D18" s="119" t="str">
        <f t="shared" si="0"/>
        <v>elektrownia na biogaz składowiska</v>
      </c>
      <c r="E18" s="119"/>
      <c r="F18" s="120" t="str">
        <f>""</f>
        <v/>
      </c>
      <c r="G18" s="120" t="s">
        <v>131</v>
      </c>
      <c r="H18" s="120" t="str">
        <f>""</f>
        <v/>
      </c>
      <c r="I18" s="120" t="str">
        <f>""</f>
        <v/>
      </c>
      <c r="J18" s="60"/>
      <c r="K18" s="66" t="s">
        <v>73</v>
      </c>
      <c r="L18" s="67" t="str">
        <f>high_kogen!D40</f>
        <v/>
      </c>
      <c r="M18" s="68" t="str">
        <f>high_kogen!E40</f>
        <v/>
      </c>
      <c r="N18" s="12"/>
      <c r="O18" s="12"/>
      <c r="P18" s="12"/>
      <c r="Q18" s="12"/>
    </row>
    <row r="19" spans="1:17" x14ac:dyDescent="0.25">
      <c r="A19" s="119"/>
      <c r="B19" s="119"/>
      <c r="C19" s="119"/>
      <c r="D19" s="119" t="str">
        <f t="shared" si="0"/>
        <v>elektrownia wodna</v>
      </c>
      <c r="E19" s="119"/>
      <c r="F19" s="120" t="str">
        <f>""</f>
        <v/>
      </c>
      <c r="G19" s="120" t="s">
        <v>127</v>
      </c>
      <c r="H19" s="120" t="str">
        <f>""</f>
        <v/>
      </c>
      <c r="I19" s="120" t="str">
        <f>""</f>
        <v/>
      </c>
      <c r="J19" s="60"/>
      <c r="K19" s="60"/>
      <c r="L19" s="177">
        <f>IF(interface!G36="TAK",CHOOSE(A21,L15,L16,L17,L18),0)</f>
        <v>596.1</v>
      </c>
      <c r="M19" s="12" t="str">
        <f>CHOOSE(A21,M15,M16,M17,M18)</f>
        <v>PLN/MWh</v>
      </c>
      <c r="N19" s="12"/>
      <c r="O19" s="12"/>
      <c r="P19" s="12"/>
      <c r="Q19" s="12"/>
    </row>
    <row r="20" spans="1:17" x14ac:dyDescent="0.25">
      <c r="A20" s="121"/>
      <c r="B20" s="121"/>
      <c r="C20" s="121"/>
      <c r="D20" s="119" t="str">
        <f t="shared" si="0"/>
        <v>inne</v>
      </c>
      <c r="E20" s="121"/>
      <c r="F20" s="120" t="str">
        <f>""</f>
        <v/>
      </c>
      <c r="G20" s="120" t="s">
        <v>22</v>
      </c>
      <c r="H20" s="120" t="str">
        <f>""</f>
        <v/>
      </c>
      <c r="I20" s="120" t="str">
        <f>""</f>
        <v/>
      </c>
      <c r="J20" s="60"/>
      <c r="K20" s="189" t="s">
        <v>160</v>
      </c>
      <c r="L20" s="70">
        <f>IF(M19="mln PLN/MWt",interface!G26,IF(M19="mln PLN/MWe",interface!E26,IF(M19="PLN/GJ",interface!G30,IF(M19="PLN/MWh",interface!D30,""))))</f>
        <v>11000</v>
      </c>
      <c r="M20" s="12" t="str">
        <f>IF(M19="mln PLN/MWt","MWt",IF(M19="mln PLN/MWe","MWe",IF(M19="PLN/GJ","GJ",IF(M19="PLN/MWh","MWh",""))))</f>
        <v>MWh</v>
      </c>
      <c r="N20" s="12"/>
      <c r="O20" s="12"/>
      <c r="P20" s="12"/>
      <c r="Q20" s="12"/>
    </row>
    <row r="21" spans="1:17" x14ac:dyDescent="0.25">
      <c r="A21" s="119">
        <f>IF(interface!$E22="",0,IF(interface!$E22=A$13,1,IF(interface!$E22=A$14,2,IF(interface!$E22=A$15,3,IF(interface!$E22=A$16,4)))))</f>
        <v>2</v>
      </c>
      <c r="B21" s="119"/>
      <c r="C21" s="119"/>
      <c r="D21" s="119">
        <f>IF(interface!$E24="",0,IF(interface!$E24=D$13,1,IF(interface!$E24=D$14,2,IF(interface!$E24=D$15,3,IF(interface!$E24=D$16,4,IF(interface!$E24=D$17,5,IF(interface!$E24=D$18,6,IF(interface!$E24=D$19,7,IF(interface!$E24=D$20,8)))))))))</f>
        <v>1</v>
      </c>
      <c r="E21" s="119"/>
      <c r="F21" s="119"/>
      <c r="G21" s="119"/>
      <c r="H21" s="119"/>
      <c r="I21" s="122" t="s">
        <v>100</v>
      </c>
      <c r="J21" s="12"/>
      <c r="K21" s="69" t="s">
        <v>48</v>
      </c>
      <c r="L21" s="70">
        <f>IF(LEFT(M19,3)="mln",L19*1000000,L19)*L20</f>
        <v>6557100</v>
      </c>
      <c r="M21" s="12" t="s">
        <v>0</v>
      </c>
      <c r="N21" s="90" t="s">
        <v>96</v>
      </c>
      <c r="O21" s="12"/>
      <c r="P21" s="12"/>
      <c r="Q21" s="12"/>
    </row>
    <row r="22" spans="1:17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"/>
      <c r="K22" s="12"/>
      <c r="L22" s="70">
        <f>interface!F12-L21</f>
        <v>-6557100</v>
      </c>
      <c r="M22" s="12" t="s">
        <v>0</v>
      </c>
      <c r="N22" s="90" t="s">
        <v>97</v>
      </c>
      <c r="O22" s="12"/>
      <c r="P22" s="12"/>
      <c r="Q22" s="12"/>
    </row>
    <row r="23" spans="1:17" x14ac:dyDescent="0.25">
      <c r="A23" s="112" t="s">
        <v>67</v>
      </c>
      <c r="B23" s="112"/>
      <c r="C23" s="112"/>
      <c r="D23" s="112"/>
      <c r="E23" s="112" t="str">
        <f>IF(interface!G16="TAK","","TAK")</f>
        <v>TAK</v>
      </c>
      <c r="F23" s="112" t="str">
        <f>IF(interface!G14="TAK","","TAK")</f>
        <v>TAK</v>
      </c>
      <c r="G23" s="112"/>
      <c r="H23" s="112"/>
      <c r="I23" s="120" t="s">
        <v>111</v>
      </c>
    </row>
    <row r="24" spans="1:17" x14ac:dyDescent="0.25">
      <c r="A24" s="112">
        <f>IF(AND(ISNUMBER(interface!F12),I39&gt;=1),1,0)</f>
        <v>0</v>
      </c>
      <c r="B24" s="112"/>
      <c r="C24" s="112"/>
      <c r="D24" s="112"/>
      <c r="E24" s="112" t="s">
        <v>2</v>
      </c>
      <c r="F24" s="112" t="s">
        <v>2</v>
      </c>
      <c r="G24" s="112"/>
      <c r="H24" s="112"/>
      <c r="I24" s="120" t="s">
        <v>112</v>
      </c>
    </row>
    <row r="25" spans="1:17" x14ac:dyDescent="0.25">
      <c r="A25" s="112"/>
      <c r="B25" s="112"/>
      <c r="C25" s="112"/>
      <c r="D25" s="112"/>
      <c r="E25" s="112"/>
      <c r="F25" s="112"/>
      <c r="G25" s="112"/>
      <c r="H25" s="112"/>
      <c r="I25" s="120" t="s">
        <v>113</v>
      </c>
      <c r="L25" s="99"/>
    </row>
    <row r="26" spans="1:17" x14ac:dyDescent="0.25">
      <c r="A26" s="112" t="s">
        <v>70</v>
      </c>
      <c r="B26" s="112"/>
      <c r="C26" s="112"/>
      <c r="D26" s="112" t="s">
        <v>68</v>
      </c>
      <c r="E26" s="113">
        <f>IF(A21=2,IF(D21=4,0.05,IF(D21=5,0.05,IF(D21=6,0.05,0))),0)</f>
        <v>0</v>
      </c>
      <c r="F26" s="114" t="s">
        <v>26</v>
      </c>
      <c r="G26" s="113">
        <v>0</v>
      </c>
      <c r="H26" s="114" t="s">
        <v>15</v>
      </c>
      <c r="I26" s="120" t="s">
        <v>114</v>
      </c>
    </row>
    <row r="27" spans="1:17" x14ac:dyDescent="0.25">
      <c r="A27" s="112"/>
      <c r="B27" s="112"/>
      <c r="C27" s="112"/>
      <c r="D27" s="112" t="s">
        <v>69</v>
      </c>
      <c r="E27" s="113" t="str">
        <f>IF(A21=1,0,IF(A21=2,IF(D21=7,4.9999999999,""),""))</f>
        <v/>
      </c>
      <c r="F27" s="114" t="s">
        <v>26</v>
      </c>
      <c r="G27" s="113">
        <f>IF(A21=2,0,"")</f>
        <v>0</v>
      </c>
      <c r="H27" s="114" t="s">
        <v>15</v>
      </c>
      <c r="I27" s="120" t="s">
        <v>115</v>
      </c>
    </row>
    <row r="28" spans="1:17" x14ac:dyDescent="0.25">
      <c r="A28" s="112"/>
      <c r="B28" s="112"/>
      <c r="C28" s="112"/>
      <c r="D28" s="112"/>
      <c r="E28" s="112"/>
      <c r="F28" s="112"/>
      <c r="G28" s="112"/>
      <c r="H28" s="112"/>
      <c r="I28" s="120" t="s">
        <v>116</v>
      </c>
    </row>
    <row r="29" spans="1:17" x14ac:dyDescent="0.25">
      <c r="A29" s="112" t="s">
        <v>71</v>
      </c>
      <c r="B29" s="112"/>
      <c r="C29" s="112"/>
      <c r="D29" s="112"/>
      <c r="E29" s="112"/>
      <c r="F29" s="112"/>
      <c r="G29" s="112"/>
      <c r="H29" s="111"/>
      <c r="I29" s="120" t="s">
        <v>101</v>
      </c>
    </row>
    <row r="30" spans="1:17" x14ac:dyDescent="0.25">
      <c r="A30" s="112" t="s">
        <v>68</v>
      </c>
      <c r="B30" s="112"/>
      <c r="C30" s="115" t="s">
        <v>42</v>
      </c>
      <c r="D30" s="116">
        <f>IF(A21=2,IF(OR(D21=1,D21=3,D21=7,D21=8),400,IF(D21=2,50000,0)),0)</f>
        <v>400</v>
      </c>
      <c r="E30" s="117" t="s">
        <v>43</v>
      </c>
      <c r="F30" s="118" t="s">
        <v>41</v>
      </c>
      <c r="G30" s="116">
        <v>0</v>
      </c>
      <c r="H30" s="117" t="s">
        <v>47</v>
      </c>
      <c r="I30" s="120" t="s">
        <v>117</v>
      </c>
    </row>
    <row r="31" spans="1:17" x14ac:dyDescent="0.25">
      <c r="A31" s="112" t="s">
        <v>69</v>
      </c>
      <c r="B31" s="112"/>
      <c r="C31" s="112"/>
      <c r="D31" s="116" t="str">
        <f>IF(A21=1,0,"")</f>
        <v/>
      </c>
      <c r="E31" s="117" t="s">
        <v>43</v>
      </c>
      <c r="F31" s="112"/>
      <c r="G31" s="116">
        <f>IF(A21=2,0,"")</f>
        <v>0</v>
      </c>
      <c r="H31" s="117" t="s">
        <v>47</v>
      </c>
      <c r="I31" s="120" t="s">
        <v>102</v>
      </c>
    </row>
    <row r="32" spans="1:17" x14ac:dyDescent="0.25">
      <c r="A32" s="111"/>
      <c r="B32" s="111"/>
      <c r="C32" s="111"/>
      <c r="D32" s="111"/>
      <c r="E32" s="111"/>
      <c r="F32" s="111"/>
      <c r="G32" s="111"/>
      <c r="H32" s="111"/>
      <c r="I32" s="120" t="s">
        <v>103</v>
      </c>
    </row>
    <row r="33" spans="1:11" x14ac:dyDescent="0.25">
      <c r="A33" s="112" t="s">
        <v>155</v>
      </c>
      <c r="B33" s="112"/>
      <c r="C33" s="112"/>
      <c r="D33" s="112" t="s">
        <v>68</v>
      </c>
      <c r="E33" s="113">
        <v>0</v>
      </c>
      <c r="F33" s="114" t="s">
        <v>152</v>
      </c>
      <c r="G33" s="111"/>
      <c r="H33" s="111"/>
      <c r="I33" s="120" t="s">
        <v>104</v>
      </c>
    </row>
    <row r="34" spans="1:11" x14ac:dyDescent="0.25">
      <c r="A34" s="111"/>
      <c r="B34" s="111"/>
      <c r="C34" s="111"/>
      <c r="D34" s="112" t="s">
        <v>69</v>
      </c>
      <c r="E34" s="113">
        <f>IF(AND(obliczenia!A21=4,obliczenia!D21=4),20,0)</f>
        <v>0</v>
      </c>
      <c r="F34" s="114" t="s">
        <v>152</v>
      </c>
      <c r="G34" s="111"/>
      <c r="H34" s="111"/>
      <c r="I34" s="120" t="s">
        <v>105</v>
      </c>
    </row>
    <row r="35" spans="1:11" x14ac:dyDescent="0.25">
      <c r="A35" s="111"/>
      <c r="B35" s="111"/>
      <c r="C35" s="111"/>
      <c r="D35" s="111"/>
      <c r="E35" s="111"/>
      <c r="F35" s="111"/>
      <c r="G35" s="111"/>
      <c r="H35" s="111"/>
      <c r="I35" s="120" t="s">
        <v>106</v>
      </c>
    </row>
    <row r="36" spans="1:11" x14ac:dyDescent="0.25">
      <c r="I36" s="120" t="s">
        <v>107</v>
      </c>
    </row>
    <row r="37" spans="1:11" x14ac:dyDescent="0.25">
      <c r="I37" s="120" t="s">
        <v>108</v>
      </c>
    </row>
    <row r="38" spans="1:11" x14ac:dyDescent="0.25">
      <c r="I38" s="120" t="s">
        <v>109</v>
      </c>
    </row>
    <row r="39" spans="1:11" x14ac:dyDescent="0.25">
      <c r="I39" s="119">
        <f>IF(interface!E18="",0,MATCH(interface!E18,obliczenia!I23:I38,0))</f>
        <v>5</v>
      </c>
      <c r="J39" s="122" t="s">
        <v>130</v>
      </c>
      <c r="K39" s="122"/>
    </row>
  </sheetData>
  <mergeCells count="5">
    <mergeCell ref="J5:M6"/>
    <mergeCell ref="N5:O5"/>
    <mergeCell ref="N6:O6"/>
    <mergeCell ref="J8:M9"/>
    <mergeCell ref="N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40"/>
  <sheetViews>
    <sheetView topLeftCell="A10"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5" width="9.140625" style="17" customWidth="1"/>
    <col min="6" max="9" width="9.140625" style="17"/>
    <col min="10" max="10" width="9.140625" style="17" customWidth="1"/>
    <col min="11" max="16384" width="9.140625" style="17"/>
  </cols>
  <sheetData>
    <row r="1" spans="2:35" x14ac:dyDescent="0.25">
      <c r="B1" s="58"/>
      <c r="M1" s="42"/>
      <c r="N1" s="42"/>
      <c r="O1" s="42"/>
      <c r="P1" s="42"/>
      <c r="Q1" s="42"/>
    </row>
    <row r="2" spans="2:35" ht="15.75" x14ac:dyDescent="0.25">
      <c r="B2" s="58"/>
      <c r="C2" s="25"/>
      <c r="D2" s="100" t="s">
        <v>6</v>
      </c>
      <c r="E2" s="228" t="s">
        <v>7</v>
      </c>
      <c r="F2" s="229"/>
      <c r="G2" s="229"/>
      <c r="H2" s="229"/>
      <c r="I2" s="229"/>
      <c r="J2" s="25"/>
      <c r="K2" s="155"/>
      <c r="L2" s="154" t="s">
        <v>138</v>
      </c>
      <c r="M2" s="156"/>
      <c r="N2" s="156"/>
      <c r="O2" s="156"/>
      <c r="P2" s="156"/>
      <c r="Q2" s="156"/>
      <c r="R2" s="155"/>
      <c r="S2" s="155"/>
    </row>
    <row r="3" spans="2:35" x14ac:dyDescent="0.25">
      <c r="B3" s="58"/>
      <c r="C3" s="25"/>
      <c r="D3" s="25" t="s">
        <v>11</v>
      </c>
      <c r="E3" s="22" t="s">
        <v>90</v>
      </c>
      <c r="F3" s="22" t="s">
        <v>8</v>
      </c>
      <c r="G3" s="22" t="s">
        <v>9</v>
      </c>
      <c r="H3" s="22" t="s">
        <v>10</v>
      </c>
      <c r="I3" s="22" t="s">
        <v>140</v>
      </c>
      <c r="J3" s="25"/>
      <c r="K3" s="155"/>
      <c r="L3" s="155"/>
      <c r="M3" s="155"/>
      <c r="N3" s="155"/>
      <c r="O3" s="155"/>
      <c r="P3" s="155"/>
      <c r="Q3" s="155"/>
      <c r="R3" s="155"/>
      <c r="S3" s="155"/>
    </row>
    <row r="4" spans="2:35" x14ac:dyDescent="0.25">
      <c r="B4" s="58"/>
      <c r="C4" s="25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J4" s="82"/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C5" s="25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J5" s="157"/>
      <c r="K5" s="155"/>
      <c r="L5" s="155"/>
      <c r="M5" s="155"/>
      <c r="N5" s="155"/>
      <c r="O5" s="155"/>
      <c r="P5" s="155"/>
      <c r="Q5" s="155"/>
      <c r="R5" s="155"/>
      <c r="S5" s="155"/>
    </row>
    <row r="6" spans="2:35" ht="15.75" thickBot="1" x14ac:dyDescent="0.3">
      <c r="B6" s="58"/>
      <c r="C6" s="101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01"/>
      <c r="K6" s="155"/>
      <c r="L6" s="155"/>
      <c r="M6" s="155"/>
      <c r="N6" s="155"/>
      <c r="O6" s="155"/>
      <c r="P6" s="155"/>
      <c r="Q6" s="155"/>
      <c r="R6" s="155"/>
      <c r="S6" s="155"/>
    </row>
    <row r="7" spans="2:35" x14ac:dyDescent="0.25">
      <c r="B7" s="58"/>
      <c r="C7" s="20" t="s">
        <v>14</v>
      </c>
      <c r="D7" s="57" t="s">
        <v>15</v>
      </c>
      <c r="E7" s="16"/>
      <c r="F7" s="16"/>
      <c r="G7" s="16"/>
      <c r="H7" s="16"/>
      <c r="I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137" t="s">
        <v>16</v>
      </c>
      <c r="D8" s="137" t="s">
        <v>74</v>
      </c>
      <c r="E8" s="138"/>
      <c r="F8" s="139"/>
      <c r="G8" s="139"/>
      <c r="H8" s="139"/>
      <c r="I8" s="139"/>
      <c r="J8" s="16" t="s">
        <v>17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C9" s="140"/>
      <c r="D9" s="140" t="s">
        <v>75</v>
      </c>
      <c r="E9" s="141"/>
      <c r="F9" s="142"/>
      <c r="G9" s="142"/>
      <c r="H9" s="142"/>
      <c r="I9" s="142"/>
      <c r="J9" s="16" t="s">
        <v>17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C10" s="17" t="s">
        <v>18</v>
      </c>
      <c r="D10" s="25" t="s">
        <v>88</v>
      </c>
      <c r="E10" s="21"/>
      <c r="F10" s="16"/>
      <c r="G10" s="16"/>
      <c r="H10" s="16"/>
      <c r="I10" s="16"/>
      <c r="J10" s="22" t="s">
        <v>19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D11" s="25" t="s">
        <v>8</v>
      </c>
      <c r="E11" s="22"/>
      <c r="F11" s="21"/>
      <c r="G11" s="16"/>
      <c r="H11" s="16"/>
      <c r="I11" s="16"/>
      <c r="J11" s="22" t="s">
        <v>19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D12" s="81" t="s">
        <v>9</v>
      </c>
      <c r="E12" s="16"/>
      <c r="F12" s="16"/>
      <c r="G12" s="21"/>
      <c r="H12" s="16"/>
      <c r="I12" s="16"/>
      <c r="J12" s="22" t="s">
        <v>19</v>
      </c>
      <c r="K12" s="155"/>
      <c r="L12" s="155"/>
      <c r="M12" s="155"/>
      <c r="N12" s="155"/>
      <c r="O12" s="155"/>
      <c r="P12" s="155"/>
      <c r="Q12" s="155"/>
      <c r="R12" s="155"/>
      <c r="S12" s="155"/>
    </row>
    <row r="13" spans="2:35" x14ac:dyDescent="0.25">
      <c r="B13" s="58"/>
      <c r="D13" s="81" t="s">
        <v>10</v>
      </c>
      <c r="G13" s="16"/>
      <c r="H13" s="21"/>
      <c r="I13" s="16"/>
      <c r="J13" s="22" t="s">
        <v>19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85</v>
      </c>
    </row>
    <row r="14" spans="2:35" x14ac:dyDescent="0.25">
      <c r="B14" s="58"/>
      <c r="C14" s="140"/>
      <c r="D14" s="143" t="s">
        <v>140</v>
      </c>
      <c r="E14" s="140"/>
      <c r="F14" s="140"/>
      <c r="G14" s="140"/>
      <c r="H14" s="140"/>
      <c r="I14" s="141"/>
      <c r="J14" s="22" t="s">
        <v>19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15</v>
      </c>
      <c r="AC14" s="55">
        <v>0.01</v>
      </c>
      <c r="AD14" s="56">
        <v>1</v>
      </c>
      <c r="AE14" s="56">
        <v>5</v>
      </c>
      <c r="AF14" s="56">
        <v>15</v>
      </c>
      <c r="AG14" s="56">
        <v>25</v>
      </c>
      <c r="AH14" s="56">
        <v>40</v>
      </c>
      <c r="AI14" s="56"/>
    </row>
    <row r="15" spans="2:35" x14ac:dyDescent="0.25">
      <c r="B15" s="58"/>
      <c r="C15" s="17" t="s">
        <v>20</v>
      </c>
      <c r="D15" s="158" t="s">
        <v>88</v>
      </c>
      <c r="E15" s="21"/>
      <c r="J15" s="22" t="s">
        <v>19</v>
      </c>
      <c r="K15" s="155"/>
      <c r="L15" s="155"/>
      <c r="M15" s="155"/>
      <c r="N15" s="155"/>
      <c r="O15" s="155"/>
      <c r="P15" s="155"/>
      <c r="Q15" s="155"/>
      <c r="R15" s="155"/>
      <c r="S15" s="155"/>
      <c r="AB15" s="49" t="s">
        <v>12</v>
      </c>
      <c r="AC15" s="133">
        <v>131</v>
      </c>
      <c r="AD15" s="133">
        <v>131</v>
      </c>
      <c r="AE15" s="133">
        <v>73</v>
      </c>
      <c r="AF15" s="133">
        <v>49</v>
      </c>
      <c r="AG15" s="133">
        <v>40</v>
      </c>
      <c r="AH15" s="133">
        <v>29</v>
      </c>
      <c r="AI15" s="50"/>
    </row>
    <row r="16" spans="2:35" x14ac:dyDescent="0.25">
      <c r="B16" s="58"/>
      <c r="D16" s="81" t="s">
        <v>8</v>
      </c>
      <c r="F16" s="21"/>
      <c r="J16" s="22" t="s">
        <v>19</v>
      </c>
      <c r="L16" s="155"/>
      <c r="M16" s="155"/>
      <c r="N16" s="155"/>
      <c r="O16" s="155"/>
      <c r="P16" s="155"/>
      <c r="Q16" s="155"/>
      <c r="R16" s="155"/>
      <c r="S16" s="155"/>
    </row>
    <row r="17" spans="2:42" x14ac:dyDescent="0.25">
      <c r="B17" s="58"/>
      <c r="D17" s="81" t="s">
        <v>9</v>
      </c>
      <c r="G17" s="21"/>
      <c r="J17" s="22" t="s">
        <v>19</v>
      </c>
      <c r="L17" s="155"/>
      <c r="M17" s="155"/>
      <c r="N17" s="155"/>
      <c r="O17" s="155"/>
      <c r="P17" s="155"/>
      <c r="Q17" s="155"/>
      <c r="R17" s="155"/>
      <c r="S17" s="155"/>
      <c r="AB17" s="49" t="s">
        <v>15</v>
      </c>
      <c r="AC17" s="53">
        <v>0.01</v>
      </c>
      <c r="AD17" s="54">
        <v>1</v>
      </c>
      <c r="AE17" s="54">
        <v>5</v>
      </c>
      <c r="AF17" s="54">
        <v>15</v>
      </c>
      <c r="AG17" s="54">
        <v>25</v>
      </c>
      <c r="AH17" s="54">
        <v>40</v>
      </c>
      <c r="AI17" s="54"/>
    </row>
    <row r="18" spans="2:42" x14ac:dyDescent="0.25">
      <c r="B18" s="58"/>
      <c r="D18" s="81" t="s">
        <v>10</v>
      </c>
      <c r="H18" s="21"/>
      <c r="J18" s="22" t="s">
        <v>19</v>
      </c>
      <c r="K18" s="155"/>
      <c r="L18" s="155"/>
      <c r="M18" s="155"/>
      <c r="N18" s="155"/>
      <c r="O18" s="155"/>
      <c r="P18" s="155"/>
      <c r="Q18" s="155"/>
      <c r="R18" s="155"/>
      <c r="S18" s="155"/>
      <c r="AB18" s="49" t="s">
        <v>12</v>
      </c>
      <c r="AC18" s="50">
        <v>1.03</v>
      </c>
      <c r="AD18" s="50">
        <v>1.03</v>
      </c>
      <c r="AE18" s="50">
        <v>0.56999999999999995</v>
      </c>
      <c r="AF18" s="50">
        <v>0.38</v>
      </c>
      <c r="AG18" s="50">
        <v>0.32</v>
      </c>
      <c r="AH18" s="50">
        <v>0.23</v>
      </c>
      <c r="AI18" s="50"/>
    </row>
    <row r="19" spans="2:42" x14ac:dyDescent="0.25">
      <c r="B19" s="58"/>
      <c r="C19" s="140"/>
      <c r="D19" s="143" t="s">
        <v>140</v>
      </c>
      <c r="E19" s="140"/>
      <c r="F19" s="140"/>
      <c r="G19" s="140"/>
      <c r="H19" s="140"/>
      <c r="I19" s="141"/>
      <c r="J19" s="22" t="s">
        <v>19</v>
      </c>
      <c r="K19" s="155"/>
      <c r="L19" s="155"/>
      <c r="M19" s="155"/>
      <c r="N19" s="155"/>
      <c r="O19" s="155"/>
      <c r="P19" s="155"/>
      <c r="Q19" s="155"/>
      <c r="R19" s="155"/>
      <c r="S19" s="155"/>
    </row>
    <row r="20" spans="2:42" x14ac:dyDescent="0.25">
      <c r="B20" s="58"/>
      <c r="C20" s="23" t="s">
        <v>136</v>
      </c>
      <c r="D20" s="158" t="s">
        <v>88</v>
      </c>
      <c r="E20" s="21"/>
      <c r="F20" s="16"/>
      <c r="G20" s="16"/>
      <c r="H20" s="16"/>
      <c r="I20" s="16"/>
      <c r="J20" s="16" t="s">
        <v>19</v>
      </c>
      <c r="K20" s="155"/>
      <c r="L20" s="155"/>
      <c r="M20" s="155"/>
      <c r="N20" s="155"/>
      <c r="O20" s="155"/>
      <c r="P20" s="155"/>
      <c r="Q20" s="155"/>
      <c r="R20" s="155"/>
      <c r="S20" s="155"/>
    </row>
    <row r="21" spans="2:42" ht="15.75" x14ac:dyDescent="0.25">
      <c r="B21" s="58"/>
      <c r="D21" s="81" t="s">
        <v>8</v>
      </c>
      <c r="E21" s="16"/>
      <c r="F21" s="24"/>
      <c r="G21" s="16"/>
      <c r="H21" s="16"/>
      <c r="I21" s="16"/>
      <c r="J21" s="16" t="s">
        <v>19</v>
      </c>
      <c r="K21" s="155"/>
      <c r="L21" s="154" t="s">
        <v>139</v>
      </c>
      <c r="M21" s="155"/>
      <c r="N21" s="155"/>
      <c r="O21" s="155"/>
      <c r="P21" s="155"/>
      <c r="Q21" s="155"/>
      <c r="R21" s="155"/>
      <c r="AB21" s="49" t="s">
        <v>83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2:42" x14ac:dyDescent="0.25">
      <c r="B22" s="58"/>
      <c r="D22" s="81" t="s">
        <v>9</v>
      </c>
      <c r="E22" s="22"/>
      <c r="F22" s="22"/>
      <c r="G22" s="21"/>
      <c r="H22" s="16"/>
      <c r="I22" s="16"/>
      <c r="J22" s="16" t="s">
        <v>19</v>
      </c>
      <c r="K22" s="155"/>
      <c r="M22" s="155"/>
      <c r="N22" s="155"/>
      <c r="O22" s="155"/>
      <c r="P22" s="155"/>
      <c r="Q22" s="155"/>
      <c r="R22" s="155"/>
      <c r="AB22" s="49" t="s">
        <v>15</v>
      </c>
      <c r="AC22" s="49">
        <v>0.43</v>
      </c>
      <c r="AD22" s="50">
        <v>1.54</v>
      </c>
      <c r="AE22" s="49"/>
      <c r="AF22" s="49"/>
      <c r="AG22" s="49"/>
      <c r="AH22" s="49"/>
      <c r="AI22" s="50"/>
      <c r="AJ22" s="50"/>
      <c r="AK22" s="50"/>
      <c r="AL22" s="50"/>
      <c r="AM22" s="42"/>
      <c r="AN22" s="42"/>
      <c r="AO22" s="42"/>
      <c r="AP22" s="42"/>
    </row>
    <row r="23" spans="2:42" x14ac:dyDescent="0.25">
      <c r="B23" s="58"/>
      <c r="D23" s="81" t="s">
        <v>10</v>
      </c>
      <c r="H23" s="21"/>
      <c r="J23" s="16" t="s">
        <v>19</v>
      </c>
      <c r="K23" s="155"/>
      <c r="L23" s="155"/>
      <c r="M23" s="155"/>
      <c r="N23" s="155"/>
      <c r="O23" s="155"/>
      <c r="P23" s="155"/>
      <c r="Q23" s="155"/>
      <c r="R23" s="155"/>
      <c r="S23" s="155"/>
      <c r="AB23" s="49" t="s">
        <v>13</v>
      </c>
      <c r="AC23" s="50">
        <v>131</v>
      </c>
      <c r="AD23" s="50">
        <v>131</v>
      </c>
      <c r="AE23" s="50"/>
      <c r="AF23" s="50"/>
      <c r="AG23" s="50"/>
      <c r="AH23" s="49"/>
      <c r="AI23" s="49"/>
      <c r="AJ23" s="49"/>
      <c r="AK23" s="49"/>
      <c r="AL23" s="49"/>
    </row>
    <row r="24" spans="2:42" x14ac:dyDescent="0.25">
      <c r="B24" s="58"/>
      <c r="C24" s="140"/>
      <c r="D24" s="143" t="s">
        <v>140</v>
      </c>
      <c r="E24" s="140"/>
      <c r="F24" s="140"/>
      <c r="G24" s="140"/>
      <c r="H24" s="140"/>
      <c r="I24" s="141"/>
      <c r="J24" s="16" t="s">
        <v>19</v>
      </c>
      <c r="M24" s="155"/>
      <c r="N24" s="155"/>
      <c r="O24" s="155"/>
      <c r="P24" s="155"/>
      <c r="Q24" s="155"/>
      <c r="R24" s="155"/>
      <c r="S24" s="155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2:42" x14ac:dyDescent="0.25">
      <c r="B25" s="58"/>
      <c r="C25" s="17" t="s">
        <v>22</v>
      </c>
      <c r="D25" s="158" t="s">
        <v>88</v>
      </c>
      <c r="E25" s="21"/>
      <c r="J25" s="16" t="s">
        <v>17</v>
      </c>
      <c r="M25" s="155"/>
      <c r="N25" s="155"/>
      <c r="O25" s="155"/>
      <c r="P25" s="155"/>
      <c r="Q25" s="155"/>
      <c r="R25" s="155"/>
      <c r="S25" s="155"/>
      <c r="AB25" s="49" t="s">
        <v>76</v>
      </c>
      <c r="AG25" s="49"/>
      <c r="AH25" s="49"/>
      <c r="AI25" s="49"/>
      <c r="AJ25" s="49"/>
      <c r="AK25" s="49"/>
      <c r="AL25" s="49"/>
    </row>
    <row r="26" spans="2:42" x14ac:dyDescent="0.25">
      <c r="B26" s="58"/>
      <c r="D26" s="81" t="s">
        <v>8</v>
      </c>
      <c r="F26" s="21"/>
      <c r="J26" s="16" t="s">
        <v>17</v>
      </c>
      <c r="AB26" s="49" t="s">
        <v>15</v>
      </c>
      <c r="AC26" s="49">
        <v>0.2</v>
      </c>
      <c r="AD26" s="49">
        <v>0.5</v>
      </c>
      <c r="AE26" s="49">
        <v>2</v>
      </c>
      <c r="AF26" s="49">
        <v>13</v>
      </c>
      <c r="AG26" s="49"/>
      <c r="AH26" s="49"/>
      <c r="AI26" s="49"/>
      <c r="AJ26" s="49"/>
      <c r="AK26" s="49"/>
      <c r="AL26" s="49"/>
    </row>
    <row r="27" spans="2:42" x14ac:dyDescent="0.25">
      <c r="B27" s="58"/>
      <c r="D27" s="81" t="s">
        <v>9</v>
      </c>
      <c r="G27" s="21"/>
      <c r="J27" s="16" t="s">
        <v>17</v>
      </c>
      <c r="AB27" s="49" t="s">
        <v>12</v>
      </c>
      <c r="AC27" s="76">
        <v>1.03</v>
      </c>
      <c r="AD27" s="76">
        <v>1.03</v>
      </c>
      <c r="AE27" s="76">
        <v>0.91500000000000004</v>
      </c>
      <c r="AF27" s="76">
        <v>0.41799999999999998</v>
      </c>
      <c r="AG27" s="50"/>
      <c r="AH27" s="50"/>
      <c r="AI27" s="50"/>
      <c r="AJ27" s="50"/>
      <c r="AK27" s="50"/>
      <c r="AL27" s="49"/>
    </row>
    <row r="28" spans="2:42" x14ac:dyDescent="0.25">
      <c r="B28" s="58"/>
      <c r="D28" s="81" t="s">
        <v>10</v>
      </c>
      <c r="H28" s="21"/>
      <c r="J28" s="16" t="s">
        <v>17</v>
      </c>
      <c r="K28" s="155"/>
      <c r="L28" s="155"/>
      <c r="M28" s="155"/>
      <c r="N28" s="155"/>
      <c r="O28" s="155"/>
      <c r="P28" s="155"/>
      <c r="Q28" s="155"/>
      <c r="R28" s="155"/>
      <c r="S28" s="155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2:42" x14ac:dyDescent="0.25">
      <c r="C29" s="140"/>
      <c r="D29" s="143" t="s">
        <v>140</v>
      </c>
      <c r="E29" s="140"/>
      <c r="F29" s="140"/>
      <c r="G29" s="140"/>
      <c r="H29" s="140"/>
      <c r="I29" s="141"/>
      <c r="J29" s="16" t="s">
        <v>17</v>
      </c>
      <c r="K29" s="155"/>
      <c r="L29" s="155"/>
      <c r="M29" s="155"/>
      <c r="N29" s="155"/>
      <c r="O29" s="155"/>
      <c r="P29" s="155"/>
      <c r="Q29" s="155"/>
      <c r="R29" s="155"/>
      <c r="S29" s="155"/>
      <c r="AB29" s="49" t="s">
        <v>137</v>
      </c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2:42" x14ac:dyDescent="0.25">
      <c r="K30" s="155"/>
      <c r="L30" s="155"/>
      <c r="M30" s="155"/>
      <c r="N30" s="155"/>
      <c r="O30" s="155"/>
      <c r="P30" s="155"/>
      <c r="Q30" s="155"/>
      <c r="R30" s="155"/>
      <c r="S30" s="155"/>
      <c r="AB30" s="49" t="s">
        <v>15</v>
      </c>
      <c r="AC30" s="49">
        <v>0.24</v>
      </c>
      <c r="AD30" s="49">
        <v>0.89</v>
      </c>
      <c r="AE30" s="49">
        <v>1.55</v>
      </c>
      <c r="AF30" s="49">
        <v>4.33</v>
      </c>
      <c r="AG30" s="49"/>
      <c r="AH30" s="49"/>
      <c r="AI30" s="49"/>
      <c r="AJ30" s="49"/>
      <c r="AK30" s="49"/>
      <c r="AL30" s="49"/>
    </row>
    <row r="31" spans="2:42" x14ac:dyDescent="0.25">
      <c r="K31" s="155"/>
      <c r="L31" s="155"/>
      <c r="M31" s="155"/>
      <c r="N31" s="155"/>
      <c r="O31" s="155"/>
      <c r="P31" s="155"/>
      <c r="Q31" s="155"/>
      <c r="R31" s="155"/>
      <c r="S31" s="155"/>
      <c r="AB31" s="49" t="s">
        <v>12</v>
      </c>
      <c r="AC31" s="76">
        <v>1.03</v>
      </c>
      <c r="AD31" s="76">
        <v>1.03</v>
      </c>
      <c r="AE31" s="76">
        <v>0.96675</v>
      </c>
      <c r="AF31" s="76">
        <v>0.6470499999999999</v>
      </c>
      <c r="AG31" s="76"/>
      <c r="AH31" s="76"/>
      <c r="AI31" s="76"/>
      <c r="AJ31" s="76"/>
      <c r="AK31" s="76"/>
      <c r="AL31" s="76"/>
    </row>
    <row r="32" spans="2:42" x14ac:dyDescent="0.25">
      <c r="B32" s="26" t="str">
        <f>IF(obliczenia!$A$21=1,IF(obliczenia!$D$21=1,"TAK",""),"")</f>
        <v/>
      </c>
      <c r="C32" s="27" t="s">
        <v>16</v>
      </c>
      <c r="D32" s="159" t="str">
        <f>IF(B32="TAK",E$6,"")</f>
        <v/>
      </c>
      <c r="E32" s="27" t="str">
        <f>IF(B32="TAK","PLN/GJ","")</f>
        <v/>
      </c>
      <c r="K32" s="155"/>
      <c r="L32" s="155"/>
      <c r="M32" s="155"/>
      <c r="N32" s="155"/>
      <c r="O32" s="155"/>
      <c r="P32" s="155"/>
      <c r="Q32" s="155"/>
      <c r="R32" s="155"/>
      <c r="S32" s="15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2:38" x14ac:dyDescent="0.25">
      <c r="B33" s="26" t="str">
        <f>IF(obliczenia!$A$21=1,IF(obliczenia!$D$21=2,"TAK",""),"")</f>
        <v/>
      </c>
      <c r="C33" s="27" t="s">
        <v>18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K33" s="155"/>
      <c r="L33" s="155"/>
      <c r="M33" s="155"/>
      <c r="N33" s="155"/>
      <c r="O33" s="155"/>
      <c r="P33" s="155"/>
      <c r="Q33" s="155"/>
      <c r="R33" s="155"/>
      <c r="AB33" s="49" t="s">
        <v>84</v>
      </c>
      <c r="AC33" s="49"/>
      <c r="AD33" s="52"/>
      <c r="AE33" s="52"/>
      <c r="AF33" s="52"/>
      <c r="AG33" s="52"/>
      <c r="AH33" s="52"/>
      <c r="AI33" s="49"/>
      <c r="AJ33" s="49"/>
      <c r="AK33" s="49"/>
      <c r="AL33" s="49"/>
    </row>
    <row r="34" spans="2:38" x14ac:dyDescent="0.25">
      <c r="B34" s="26" t="str">
        <f>IF(obliczenia!$A$21=1,IF(obliczenia!$D$21=3,"TAK",""),"")</f>
        <v/>
      </c>
      <c r="C34" s="27" t="s">
        <v>20</v>
      </c>
      <c r="D34" s="159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K34" s="155"/>
      <c r="L34" s="155"/>
      <c r="M34" s="155"/>
      <c r="N34" s="155"/>
      <c r="O34" s="155"/>
      <c r="P34" s="155"/>
      <c r="Q34" s="155"/>
      <c r="R34" s="155"/>
      <c r="AB34" s="49" t="s">
        <v>15</v>
      </c>
      <c r="AC34" s="53">
        <v>2.1</v>
      </c>
      <c r="AD34" s="54">
        <v>31</v>
      </c>
      <c r="AE34" s="54">
        <v>40.700000000000003</v>
      </c>
      <c r="AF34" s="54"/>
      <c r="AG34" s="54"/>
      <c r="AH34" s="54"/>
      <c r="AI34" s="54"/>
      <c r="AJ34" s="49"/>
      <c r="AK34" s="49"/>
      <c r="AL34" s="49"/>
    </row>
    <row r="35" spans="2:38" x14ac:dyDescent="0.25">
      <c r="B35" s="26" t="str">
        <f>IF(obliczenia!$A$21=1,IF(obliczenia!$D$21=4,"TAK",""),"")</f>
        <v/>
      </c>
      <c r="C35" s="27" t="s">
        <v>136</v>
      </c>
      <c r="D35" s="159" t="str">
        <f>IF(B35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5" s="27" t="str">
        <f>IF(B35="TAK","mln PLN/MWt","")</f>
        <v/>
      </c>
      <c r="K35" s="155"/>
      <c r="L35" s="155"/>
      <c r="M35" s="155"/>
      <c r="N35" s="155"/>
      <c r="O35" s="155"/>
      <c r="P35" s="155"/>
      <c r="Q35" s="155"/>
      <c r="R35" s="155"/>
      <c r="S35" s="155"/>
      <c r="AB35" s="49" t="s">
        <v>12</v>
      </c>
      <c r="AC35" s="50">
        <v>0.90349999999999997</v>
      </c>
      <c r="AD35" s="50">
        <v>0.23</v>
      </c>
      <c r="AE35" s="50">
        <v>0.23</v>
      </c>
      <c r="AF35" s="50"/>
      <c r="AG35" s="50"/>
      <c r="AH35" s="50"/>
      <c r="AI35" s="50"/>
      <c r="AJ35" s="49"/>
      <c r="AK35" s="49"/>
      <c r="AL35" s="49"/>
    </row>
    <row r="36" spans="2:38" x14ac:dyDescent="0.25">
      <c r="B36" s="26" t="str">
        <f>IF(obliczenia!$A$21=1,IF(obliczenia!$D$21=5,"TAK",""),"")</f>
        <v/>
      </c>
      <c r="C36" s="27" t="s">
        <v>22</v>
      </c>
      <c r="D36" s="28" t="str">
        <f>IF(B36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6" s="27" t="str">
        <f>IF(B36="TAK","PLN/GJ","")</f>
        <v/>
      </c>
      <c r="K36" s="155"/>
      <c r="L36" s="155"/>
      <c r="M36" s="155"/>
      <c r="N36" s="155"/>
      <c r="O36" s="155"/>
      <c r="P36" s="155"/>
      <c r="Q36" s="155"/>
      <c r="R36" s="155"/>
      <c r="S36" s="155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2:38" x14ac:dyDescent="0.25">
      <c r="B37" s="26"/>
      <c r="C37" s="27"/>
      <c r="D37" s="27"/>
      <c r="E37" s="27"/>
      <c r="K37" s="155"/>
      <c r="L37" s="155"/>
      <c r="M37" s="155"/>
      <c r="N37" s="155"/>
      <c r="O37" s="155"/>
      <c r="P37" s="155"/>
      <c r="Q37" s="155"/>
      <c r="R37" s="155"/>
      <c r="AB37" s="49"/>
      <c r="AC37" s="49"/>
      <c r="AD37" s="52"/>
      <c r="AE37" s="52"/>
      <c r="AF37" s="52"/>
      <c r="AG37" s="52"/>
      <c r="AH37" s="52"/>
      <c r="AI37" s="49"/>
      <c r="AJ37" s="49"/>
      <c r="AK37" s="49"/>
      <c r="AL37" s="49"/>
    </row>
    <row r="38" spans="2:38" x14ac:dyDescent="0.25">
      <c r="B38" s="26"/>
      <c r="C38" s="27"/>
      <c r="D38" s="27"/>
      <c r="E38" s="27"/>
      <c r="K38" s="155"/>
      <c r="L38" s="155"/>
      <c r="M38" s="155"/>
      <c r="N38" s="155"/>
      <c r="O38" s="155"/>
      <c r="P38" s="155"/>
      <c r="Q38" s="155"/>
      <c r="R38" s="155"/>
      <c r="AB38" s="49"/>
      <c r="AC38" s="55"/>
      <c r="AD38" s="56"/>
      <c r="AE38" s="56"/>
      <c r="AF38" s="56"/>
      <c r="AG38" s="56"/>
      <c r="AH38" s="56"/>
      <c r="AI38" s="56"/>
      <c r="AJ38" s="49"/>
      <c r="AK38" s="49"/>
      <c r="AL38" s="49"/>
    </row>
    <row r="39" spans="2:38" x14ac:dyDescent="0.25">
      <c r="B39" s="26"/>
      <c r="C39" s="27"/>
      <c r="D39" s="29"/>
      <c r="E39" s="29"/>
      <c r="K39" s="155"/>
      <c r="L39" s="155"/>
      <c r="M39" s="155"/>
      <c r="N39" s="155"/>
      <c r="O39" s="155"/>
      <c r="P39" s="155"/>
      <c r="Q39" s="155"/>
      <c r="R39" s="155"/>
      <c r="S39" s="155"/>
      <c r="AB39" s="49"/>
      <c r="AC39" s="50"/>
      <c r="AD39" s="50"/>
      <c r="AE39" s="50"/>
      <c r="AF39" s="50"/>
      <c r="AG39" s="50"/>
      <c r="AH39" s="50"/>
      <c r="AI39" s="50"/>
      <c r="AJ39" s="49"/>
      <c r="AK39" s="49"/>
      <c r="AL39" s="49"/>
    </row>
    <row r="40" spans="2:38" x14ac:dyDescent="0.25">
      <c r="D40" s="30" t="str">
        <f>IF(obliczenia!A21=1,VLOOKUP("TAK",B32:E39,3,0),"")</f>
        <v/>
      </c>
      <c r="E40" s="27" t="str">
        <f>IF(obliczenia!A21=1,VLOOKUP("TAK",B32:E39,4,0),"")</f>
        <v/>
      </c>
    </row>
  </sheetData>
  <mergeCells count="1">
    <mergeCell ref="E2:I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L54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6" width="9.140625" style="17" customWidth="1"/>
    <col min="7" max="15" width="9.140625" style="17"/>
    <col min="16" max="16" width="11.7109375" style="17" customWidth="1"/>
    <col min="17" max="18" width="9.140625" style="17"/>
    <col min="19" max="19" width="14.28515625" style="17" customWidth="1"/>
    <col min="20" max="16384" width="9.140625" style="17"/>
  </cols>
  <sheetData>
    <row r="1" spans="2:64" x14ac:dyDescent="0.25">
      <c r="AH1" s="155"/>
      <c r="AI1" s="155"/>
      <c r="AJ1" s="155"/>
      <c r="AK1" s="155"/>
      <c r="AL1" s="155"/>
    </row>
    <row r="2" spans="2:64" s="13" customFormat="1" ht="15.75" x14ac:dyDescent="0.25">
      <c r="B2" s="40"/>
      <c r="D2" s="31" t="s">
        <v>6</v>
      </c>
      <c r="E2" s="230" t="s">
        <v>92</v>
      </c>
      <c r="F2" s="230"/>
      <c r="G2" s="230"/>
      <c r="H2" s="230"/>
      <c r="I2" s="230"/>
      <c r="J2" s="231"/>
      <c r="K2" s="230" t="s">
        <v>93</v>
      </c>
      <c r="L2" s="232"/>
      <c r="M2" s="232"/>
      <c r="N2" s="232"/>
      <c r="Q2" s="40"/>
      <c r="S2" s="31" t="s">
        <v>6</v>
      </c>
      <c r="T2" s="230" t="s">
        <v>92</v>
      </c>
      <c r="U2" s="230"/>
      <c r="V2" s="230"/>
      <c r="W2" s="230"/>
      <c r="X2" s="231"/>
      <c r="Y2" s="230" t="s">
        <v>93</v>
      </c>
      <c r="Z2" s="233"/>
      <c r="AA2" s="233"/>
      <c r="AB2" s="32"/>
      <c r="AD2" s="154" t="s">
        <v>138</v>
      </c>
      <c r="AE2" s="155"/>
      <c r="AF2" s="155"/>
      <c r="AG2" s="155"/>
      <c r="AH2" s="155"/>
      <c r="AI2" s="155"/>
      <c r="AJ2" s="155"/>
      <c r="AK2" s="155"/>
      <c r="AL2" s="155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2:64" s="13" customFormat="1" x14ac:dyDescent="0.25">
      <c r="B3" s="40"/>
      <c r="C3" s="72"/>
      <c r="D3" s="126" t="s">
        <v>91</v>
      </c>
      <c r="E3" s="35"/>
      <c r="F3" s="82" t="s">
        <v>90</v>
      </c>
      <c r="G3" s="82" t="s">
        <v>49</v>
      </c>
      <c r="H3" s="82" t="s">
        <v>50</v>
      </c>
      <c r="I3" s="84" t="s">
        <v>51</v>
      </c>
      <c r="J3" s="83" t="s">
        <v>52</v>
      </c>
      <c r="K3" s="160"/>
      <c r="L3" s="73" t="s">
        <v>53</v>
      </c>
      <c r="M3" s="84" t="s">
        <v>54</v>
      </c>
      <c r="N3" s="84" t="s">
        <v>55</v>
      </c>
      <c r="Q3" s="40"/>
      <c r="R3" s="85"/>
      <c r="S3" s="161" t="s">
        <v>94</v>
      </c>
      <c r="T3" s="86"/>
      <c r="U3" s="82" t="s">
        <v>56</v>
      </c>
      <c r="V3" s="82" t="s">
        <v>57</v>
      </c>
      <c r="W3" s="82" t="s">
        <v>58</v>
      </c>
      <c r="X3" s="83" t="s">
        <v>135</v>
      </c>
      <c r="Y3" s="82"/>
      <c r="Z3" s="82" t="s">
        <v>59</v>
      </c>
      <c r="AA3" s="82" t="s">
        <v>60</v>
      </c>
      <c r="AB3" s="32"/>
      <c r="AD3" s="155"/>
      <c r="AE3" s="155"/>
      <c r="AF3" s="155"/>
      <c r="AG3" s="155"/>
      <c r="AH3" s="155"/>
      <c r="AI3" s="155"/>
      <c r="AJ3" s="155"/>
      <c r="AK3" s="155"/>
      <c r="AL3" s="155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2:64" s="13" customFormat="1" x14ac:dyDescent="0.25">
      <c r="B4" s="40"/>
      <c r="C4" s="72"/>
      <c r="D4" s="162" t="s">
        <v>91</v>
      </c>
      <c r="E4" s="102">
        <v>0.4</v>
      </c>
      <c r="F4" s="102">
        <v>1</v>
      </c>
      <c r="G4" s="102">
        <v>10</v>
      </c>
      <c r="H4" s="102">
        <v>20</v>
      </c>
      <c r="I4" s="104">
        <v>35</v>
      </c>
      <c r="J4" s="103">
        <v>50</v>
      </c>
      <c r="K4" s="104">
        <v>50</v>
      </c>
      <c r="L4" s="104">
        <v>100</v>
      </c>
      <c r="M4" s="104">
        <v>200</v>
      </c>
      <c r="N4" s="104">
        <v>460</v>
      </c>
      <c r="O4" s="15"/>
      <c r="Q4" s="40"/>
      <c r="R4" s="109"/>
      <c r="S4" s="163" t="s">
        <v>94</v>
      </c>
      <c r="T4" s="102">
        <v>0.4</v>
      </c>
      <c r="U4" s="102">
        <v>3</v>
      </c>
      <c r="V4" s="102">
        <v>10</v>
      </c>
      <c r="W4" s="102">
        <v>50</v>
      </c>
      <c r="X4" s="127">
        <v>50</v>
      </c>
      <c r="Y4" s="102">
        <v>400</v>
      </c>
      <c r="Z4" s="102">
        <v>1000</v>
      </c>
      <c r="AA4" s="102">
        <v>3500</v>
      </c>
      <c r="AB4" s="110"/>
      <c r="AD4" s="155"/>
      <c r="AE4" s="155"/>
      <c r="AF4" s="155"/>
      <c r="AG4" s="155"/>
      <c r="AH4" s="155"/>
      <c r="AI4" s="155"/>
      <c r="AJ4" s="155"/>
      <c r="AK4" s="155"/>
      <c r="AL4" s="155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2:64" s="13" customFormat="1" x14ac:dyDescent="0.25">
      <c r="B5" s="40"/>
      <c r="D5" s="15" t="s">
        <v>23</v>
      </c>
      <c r="E5" s="105">
        <v>5.44</v>
      </c>
      <c r="F5" s="105">
        <v>4.9000000000000004</v>
      </c>
      <c r="G5" s="105">
        <v>3.54</v>
      </c>
      <c r="H5" s="105">
        <v>3.14</v>
      </c>
      <c r="I5" s="107">
        <v>2.8</v>
      </c>
      <c r="J5" s="106">
        <v>2.66</v>
      </c>
      <c r="K5" s="107">
        <v>3.82</v>
      </c>
      <c r="L5" s="107">
        <v>3.49</v>
      </c>
      <c r="M5" s="107">
        <v>2.98</v>
      </c>
      <c r="N5" s="107">
        <v>2.59</v>
      </c>
      <c r="O5" s="15"/>
      <c r="Q5" s="40"/>
      <c r="R5" s="15"/>
      <c r="S5" s="15" t="s">
        <v>23</v>
      </c>
      <c r="T5" s="105">
        <v>6.67</v>
      </c>
      <c r="U5" s="105">
        <v>5.48</v>
      </c>
      <c r="V5" s="105">
        <v>4.7699999999999996</v>
      </c>
      <c r="W5" s="105">
        <v>3.81</v>
      </c>
      <c r="X5" s="135">
        <v>3.81</v>
      </c>
      <c r="Y5" s="105">
        <v>3.81</v>
      </c>
      <c r="Z5" s="105">
        <v>3.4</v>
      </c>
      <c r="AA5" s="105">
        <v>3.15</v>
      </c>
      <c r="AB5" s="110"/>
      <c r="AD5" s="155"/>
      <c r="AE5" s="155"/>
      <c r="AF5" s="155"/>
      <c r="AG5" s="155"/>
      <c r="AH5" s="155"/>
      <c r="AI5" s="155"/>
      <c r="AJ5" s="155"/>
      <c r="AK5" s="155"/>
      <c r="AL5" s="155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2:64" s="13" customFormat="1" ht="15.75" thickBot="1" x14ac:dyDescent="0.3">
      <c r="B6" s="40"/>
      <c r="C6" s="33"/>
      <c r="D6" s="108" t="s">
        <v>24</v>
      </c>
      <c r="E6" s="124">
        <v>682</v>
      </c>
      <c r="F6" s="124">
        <v>616</v>
      </c>
      <c r="G6" s="124">
        <v>448</v>
      </c>
      <c r="H6" s="124">
        <v>398</v>
      </c>
      <c r="I6" s="124">
        <v>357</v>
      </c>
      <c r="J6" s="125">
        <v>338</v>
      </c>
      <c r="K6" s="124">
        <v>488</v>
      </c>
      <c r="L6" s="124">
        <v>446</v>
      </c>
      <c r="M6" s="124">
        <v>380</v>
      </c>
      <c r="N6" s="124">
        <v>321</v>
      </c>
      <c r="O6" s="108"/>
      <c r="Q6" s="40"/>
      <c r="R6" s="108"/>
      <c r="S6" s="108" t="s">
        <v>24</v>
      </c>
      <c r="T6" s="124">
        <v>834</v>
      </c>
      <c r="U6" s="124">
        <v>687</v>
      </c>
      <c r="V6" s="124">
        <v>599</v>
      </c>
      <c r="W6" s="124">
        <v>483</v>
      </c>
      <c r="X6" s="136">
        <v>483</v>
      </c>
      <c r="Y6" s="124">
        <v>483</v>
      </c>
      <c r="Z6" s="124">
        <v>425</v>
      </c>
      <c r="AA6" s="124">
        <v>321</v>
      </c>
      <c r="AB6" s="108"/>
      <c r="AD6" s="155"/>
      <c r="AE6" s="155"/>
      <c r="AF6" s="155"/>
      <c r="AG6" s="155"/>
      <c r="AH6" s="155"/>
      <c r="AI6" s="155"/>
      <c r="AJ6" s="155"/>
      <c r="AK6" s="155"/>
      <c r="AL6" s="155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2:64" s="13" customFormat="1" x14ac:dyDescent="0.25">
      <c r="B7" s="40"/>
      <c r="C7" s="71" t="s">
        <v>14</v>
      </c>
      <c r="D7" s="72" t="s">
        <v>26</v>
      </c>
      <c r="I7" s="47"/>
      <c r="J7" s="43"/>
      <c r="Q7" s="40"/>
      <c r="R7" s="31" t="s">
        <v>14</v>
      </c>
      <c r="S7" s="72" t="s">
        <v>25</v>
      </c>
      <c r="U7" s="40"/>
      <c r="X7" s="44"/>
      <c r="AD7" s="155"/>
      <c r="AE7" s="155"/>
      <c r="AF7" s="155"/>
      <c r="AG7" s="155"/>
      <c r="AH7" s="155"/>
      <c r="AI7" s="155"/>
      <c r="AJ7" s="155"/>
      <c r="AK7" s="155"/>
      <c r="AL7" s="155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2:64" s="13" customFormat="1" x14ac:dyDescent="0.25">
      <c r="B8" s="38"/>
      <c r="C8" s="13" t="s">
        <v>18</v>
      </c>
      <c r="D8" s="39" t="s">
        <v>161</v>
      </c>
      <c r="F8" s="40"/>
      <c r="G8" s="40"/>
      <c r="H8" s="40"/>
      <c r="I8" s="40"/>
      <c r="J8" s="43"/>
      <c r="K8" s="48"/>
      <c r="L8" s="46"/>
      <c r="M8" s="46"/>
      <c r="N8" s="46"/>
      <c r="O8" s="40" t="s">
        <v>30</v>
      </c>
      <c r="Q8" s="40"/>
      <c r="R8" s="73" t="s">
        <v>27</v>
      </c>
      <c r="S8" s="13" t="s">
        <v>56</v>
      </c>
      <c r="T8" s="34"/>
      <c r="U8" s="34"/>
      <c r="X8" s="44"/>
      <c r="AB8" s="40" t="s">
        <v>24</v>
      </c>
      <c r="AD8" s="155"/>
      <c r="AE8" s="155"/>
      <c r="AF8" s="155"/>
      <c r="AG8" s="155"/>
      <c r="AH8" s="155"/>
      <c r="AI8" s="155"/>
      <c r="AJ8" s="155"/>
      <c r="AK8" s="155"/>
      <c r="AL8" s="155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2:64" s="13" customFormat="1" x14ac:dyDescent="0.25">
      <c r="B9" s="38"/>
      <c r="D9" s="164" t="s">
        <v>53</v>
      </c>
      <c r="G9" s="40"/>
      <c r="H9" s="40"/>
      <c r="I9" s="40"/>
      <c r="J9" s="43"/>
      <c r="K9" s="40"/>
      <c r="L9" s="48"/>
      <c r="M9" s="46"/>
      <c r="N9" s="46"/>
      <c r="O9" s="40" t="s">
        <v>30</v>
      </c>
      <c r="Q9" s="40"/>
      <c r="R9" s="73"/>
      <c r="S9" s="13" t="s">
        <v>57</v>
      </c>
      <c r="T9" s="35"/>
      <c r="V9" s="34"/>
      <c r="X9" s="44"/>
      <c r="AB9" s="40" t="s">
        <v>24</v>
      </c>
      <c r="AD9" s="155"/>
      <c r="AE9" s="155"/>
      <c r="AF9" s="155"/>
      <c r="AG9" s="155"/>
      <c r="AH9" s="155"/>
      <c r="AI9" s="155"/>
      <c r="AJ9" s="155"/>
      <c r="AK9" s="155"/>
      <c r="AL9" s="155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2:64" s="13" customFormat="1" x14ac:dyDescent="0.25">
      <c r="B10" s="38"/>
      <c r="D10" s="123" t="s">
        <v>54</v>
      </c>
      <c r="G10" s="40"/>
      <c r="H10" s="40"/>
      <c r="I10" s="40"/>
      <c r="J10" s="43"/>
      <c r="K10" s="40"/>
      <c r="L10" s="40"/>
      <c r="M10" s="48"/>
      <c r="N10" s="46"/>
      <c r="O10" s="40" t="s">
        <v>30</v>
      </c>
      <c r="Q10" s="40"/>
      <c r="R10" s="73"/>
      <c r="S10" s="13" t="s">
        <v>58</v>
      </c>
      <c r="T10" s="35"/>
      <c r="U10" s="40"/>
      <c r="W10" s="34"/>
      <c r="X10" s="44"/>
      <c r="AB10" s="40" t="s">
        <v>24</v>
      </c>
      <c r="AD10" s="155"/>
      <c r="AE10" s="155"/>
      <c r="AF10" s="155"/>
      <c r="AG10" s="155"/>
      <c r="AH10" s="155"/>
      <c r="AI10" s="155"/>
      <c r="AJ10" s="155"/>
      <c r="AK10" s="155"/>
      <c r="AL10" s="155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2:64" s="13" customFormat="1" x14ac:dyDescent="0.25">
      <c r="B11" s="38"/>
      <c r="D11" s="123" t="s">
        <v>55</v>
      </c>
      <c r="G11" s="40"/>
      <c r="H11" s="40"/>
      <c r="I11" s="40"/>
      <c r="J11" s="43"/>
      <c r="K11" s="40"/>
      <c r="L11" s="40"/>
      <c r="M11" s="46"/>
      <c r="N11" s="48"/>
      <c r="O11" s="40" t="s">
        <v>30</v>
      </c>
      <c r="Q11" s="40"/>
      <c r="R11" s="73"/>
      <c r="S11" s="13" t="s">
        <v>61</v>
      </c>
      <c r="T11" s="35"/>
      <c r="U11" s="40"/>
      <c r="X11" s="45"/>
      <c r="AB11" s="40" t="s">
        <v>24</v>
      </c>
      <c r="AD11" s="155"/>
      <c r="AE11" s="155"/>
      <c r="AF11" s="155"/>
      <c r="AG11" s="155"/>
      <c r="AH11" s="155"/>
      <c r="AI11" s="155"/>
      <c r="AJ11" s="155"/>
      <c r="AK11" s="155"/>
      <c r="AL11" s="155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2:64" s="13" customFormat="1" x14ac:dyDescent="0.25">
      <c r="B12" s="38"/>
      <c r="C12" s="13" t="s">
        <v>21</v>
      </c>
      <c r="D12" s="13" t="s">
        <v>133</v>
      </c>
      <c r="E12" s="36"/>
      <c r="F12" s="36"/>
      <c r="I12" s="46"/>
      <c r="J12" s="44"/>
      <c r="K12" s="46"/>
      <c r="L12" s="46"/>
      <c r="M12" s="46"/>
      <c r="N12" s="46"/>
      <c r="O12" s="40" t="s">
        <v>30</v>
      </c>
      <c r="R12" s="73" t="s">
        <v>28</v>
      </c>
      <c r="S12" s="13" t="s">
        <v>135</v>
      </c>
      <c r="T12" s="35"/>
      <c r="X12" s="45"/>
      <c r="AB12" s="40" t="s">
        <v>24</v>
      </c>
      <c r="AD12" s="155"/>
      <c r="AE12" s="155"/>
      <c r="AF12" s="155"/>
      <c r="AG12" s="155"/>
      <c r="AH12" s="155"/>
      <c r="AI12" s="155"/>
      <c r="AJ12" s="155"/>
      <c r="AK12" s="155"/>
      <c r="AL12" s="155"/>
      <c r="AM12" s="17"/>
      <c r="AN12" s="17"/>
      <c r="AO12" s="17"/>
      <c r="AP12" s="17"/>
      <c r="AQ12" s="17"/>
      <c r="AR12" s="17"/>
      <c r="AS12" s="17"/>
      <c r="AT12" s="17"/>
      <c r="AU12" s="74" t="s">
        <v>85</v>
      </c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35"/>
      <c r="BH12" s="35"/>
      <c r="BI12" s="35"/>
      <c r="BJ12" s="35"/>
      <c r="BK12" s="35"/>
      <c r="BL12" s="35"/>
    </row>
    <row r="13" spans="2:64" s="13" customFormat="1" x14ac:dyDescent="0.25">
      <c r="B13" s="38"/>
      <c r="D13" s="126" t="s">
        <v>49</v>
      </c>
      <c r="E13" s="35"/>
      <c r="G13" s="34"/>
      <c r="I13" s="46"/>
      <c r="J13" s="44"/>
      <c r="K13" s="46"/>
      <c r="L13" s="46"/>
      <c r="M13" s="46"/>
      <c r="N13" s="46"/>
      <c r="O13" s="40" t="s">
        <v>30</v>
      </c>
      <c r="R13" s="73"/>
      <c r="S13" s="13" t="s">
        <v>59</v>
      </c>
      <c r="T13" s="35"/>
      <c r="X13" s="44"/>
      <c r="Y13" s="34"/>
      <c r="Z13" s="34"/>
      <c r="AB13" s="40" t="s">
        <v>24</v>
      </c>
      <c r="AD13" s="155"/>
      <c r="AE13" s="155"/>
      <c r="AF13" s="155"/>
      <c r="AG13" s="155"/>
      <c r="AH13" s="155"/>
      <c r="AI13" s="155"/>
      <c r="AJ13" s="155"/>
      <c r="AK13" s="155"/>
      <c r="AL13" s="155"/>
      <c r="AM13" s="17"/>
      <c r="AN13" s="17"/>
      <c r="AO13" s="17"/>
      <c r="AP13" s="17"/>
      <c r="AQ13" s="17"/>
      <c r="AR13" s="17"/>
      <c r="AS13" s="17"/>
      <c r="AT13" s="17"/>
      <c r="AU13" s="74" t="s">
        <v>26</v>
      </c>
      <c r="AV13" s="75">
        <v>0.4</v>
      </c>
      <c r="AW13" s="56">
        <v>1</v>
      </c>
      <c r="AX13" s="56">
        <v>10</v>
      </c>
      <c r="AY13" s="56">
        <v>20</v>
      </c>
      <c r="AZ13" s="56">
        <v>35</v>
      </c>
      <c r="BA13" s="56">
        <v>49.999999999999901</v>
      </c>
      <c r="BB13" s="56">
        <v>50</v>
      </c>
      <c r="BC13" s="56">
        <v>100</v>
      </c>
      <c r="BD13" s="56">
        <v>200</v>
      </c>
      <c r="BE13" s="56">
        <v>460</v>
      </c>
      <c r="BF13" s="128">
        <v>600</v>
      </c>
      <c r="BH13" s="35"/>
      <c r="BI13" s="35"/>
      <c r="BJ13" s="35"/>
      <c r="BK13" s="35"/>
      <c r="BL13" s="35"/>
    </row>
    <row r="14" spans="2:64" s="13" customFormat="1" x14ac:dyDescent="0.25">
      <c r="B14" s="38"/>
      <c r="D14" s="126" t="s">
        <v>50</v>
      </c>
      <c r="H14" s="34"/>
      <c r="I14" s="46"/>
      <c r="J14" s="44"/>
      <c r="K14" s="46"/>
      <c r="L14" s="46"/>
      <c r="M14" s="46"/>
      <c r="N14" s="46"/>
      <c r="O14" s="40" t="s">
        <v>30</v>
      </c>
      <c r="R14" s="73"/>
      <c r="S14" s="13" t="s">
        <v>60</v>
      </c>
      <c r="T14" s="35"/>
      <c r="X14" s="44"/>
      <c r="AA14" s="34"/>
      <c r="AB14" s="40" t="s">
        <v>24</v>
      </c>
      <c r="AD14" s="155"/>
      <c r="AE14" s="155"/>
      <c r="AF14" s="155"/>
      <c r="AG14" s="155"/>
      <c r="AH14" s="155"/>
      <c r="AI14" s="155"/>
      <c r="AJ14" s="155"/>
      <c r="AK14" s="155"/>
      <c r="AL14" s="155"/>
      <c r="AM14" s="17"/>
      <c r="AN14" s="17"/>
      <c r="AO14" s="17"/>
      <c r="AP14" s="17"/>
      <c r="AQ14" s="17"/>
      <c r="AR14" s="17"/>
      <c r="AS14" s="17"/>
      <c r="AT14" s="17"/>
      <c r="AU14" s="74" t="s">
        <v>23</v>
      </c>
      <c r="AV14" s="76">
        <v>5.44</v>
      </c>
      <c r="AW14" s="76">
        <v>4.9000000000000004</v>
      </c>
      <c r="AX14" s="76">
        <v>3.54</v>
      </c>
      <c r="AY14" s="76">
        <v>3.14</v>
      </c>
      <c r="AZ14" s="76">
        <v>2.8</v>
      </c>
      <c r="BA14" s="76">
        <v>2.66</v>
      </c>
      <c r="BB14" s="76">
        <v>3.82</v>
      </c>
      <c r="BC14" s="76">
        <v>3.49</v>
      </c>
      <c r="BD14" s="76">
        <v>2.98</v>
      </c>
      <c r="BE14" s="76">
        <v>2.59</v>
      </c>
      <c r="BF14" s="129">
        <v>2.59</v>
      </c>
      <c r="BH14" s="35"/>
      <c r="BI14" s="35"/>
      <c r="BJ14" s="35"/>
      <c r="BK14" s="35"/>
      <c r="BL14" s="35"/>
    </row>
    <row r="15" spans="2:64" s="13" customFormat="1" x14ac:dyDescent="0.25">
      <c r="B15" s="38"/>
      <c r="D15" s="123" t="s">
        <v>51</v>
      </c>
      <c r="I15" s="34"/>
      <c r="J15" s="44"/>
      <c r="K15" s="46"/>
      <c r="L15" s="46"/>
      <c r="M15" s="46"/>
      <c r="N15" s="46"/>
      <c r="O15" s="40" t="s">
        <v>30</v>
      </c>
      <c r="R15" s="73" t="s">
        <v>29</v>
      </c>
      <c r="S15" s="13" t="s">
        <v>56</v>
      </c>
      <c r="T15" s="34"/>
      <c r="U15" s="34"/>
      <c r="X15" s="44"/>
      <c r="AB15" s="40" t="s">
        <v>24</v>
      </c>
      <c r="AD15" s="155"/>
      <c r="AE15" s="155"/>
      <c r="AF15" s="155"/>
      <c r="AG15" s="155"/>
      <c r="AH15" s="155"/>
      <c r="AI15" s="155"/>
      <c r="AJ15" s="155"/>
      <c r="AK15" s="155"/>
      <c r="AL15" s="155"/>
      <c r="AM15" s="17"/>
      <c r="AN15" s="17"/>
      <c r="AO15" s="17"/>
      <c r="AP15" s="17"/>
      <c r="AQ15" s="17"/>
      <c r="AR15" s="17"/>
      <c r="AS15" s="17"/>
      <c r="AT15" s="17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35"/>
      <c r="BH15" s="35"/>
      <c r="BI15" s="35"/>
      <c r="BJ15" s="35"/>
      <c r="BK15" s="35"/>
      <c r="BL15" s="35"/>
    </row>
    <row r="16" spans="2:64" s="13" customFormat="1" x14ac:dyDescent="0.25">
      <c r="B16" s="38"/>
      <c r="D16" s="123" t="s">
        <v>134</v>
      </c>
      <c r="I16" s="46"/>
      <c r="J16" s="45"/>
      <c r="K16" s="46"/>
      <c r="L16" s="46"/>
      <c r="M16" s="46"/>
      <c r="N16" s="46"/>
      <c r="O16" s="40" t="s">
        <v>30</v>
      </c>
      <c r="S16" s="13" t="s">
        <v>62</v>
      </c>
      <c r="V16" s="34"/>
      <c r="X16" s="44"/>
      <c r="AB16" s="40" t="s">
        <v>24</v>
      </c>
      <c r="AD16" s="155"/>
      <c r="AE16" s="155"/>
      <c r="AF16" s="155"/>
      <c r="AG16" s="155"/>
      <c r="AH16" s="155"/>
      <c r="AI16" s="155"/>
      <c r="AJ16" s="155"/>
      <c r="AK16" s="155"/>
      <c r="AL16" s="155"/>
      <c r="AM16" s="17"/>
      <c r="AN16" s="17"/>
      <c r="AO16" s="17"/>
      <c r="AP16" s="17"/>
      <c r="AQ16" s="17"/>
      <c r="AR16" s="17"/>
      <c r="AS16" s="17"/>
      <c r="AT16" s="17"/>
      <c r="AU16" s="74" t="s">
        <v>25</v>
      </c>
      <c r="AV16" s="77">
        <v>0.4</v>
      </c>
      <c r="AW16" s="54">
        <v>3</v>
      </c>
      <c r="AX16" s="54">
        <v>10</v>
      </c>
      <c r="AY16" s="54">
        <v>50</v>
      </c>
      <c r="AZ16" s="54">
        <v>200</v>
      </c>
      <c r="BA16" s="54">
        <v>399.99999999999898</v>
      </c>
      <c r="BB16" s="54">
        <v>400</v>
      </c>
      <c r="BC16" s="54">
        <v>1000</v>
      </c>
      <c r="BD16" s="128">
        <v>3500</v>
      </c>
      <c r="BE16" s="25"/>
      <c r="BF16" s="25"/>
      <c r="BG16" s="35"/>
      <c r="BH16" s="35"/>
      <c r="BI16" s="35"/>
      <c r="BJ16" s="35"/>
      <c r="BK16" s="35"/>
      <c r="BL16" s="35"/>
    </row>
    <row r="17" spans="2:64" s="13" customFormat="1" x14ac:dyDescent="0.25">
      <c r="C17" s="13" t="s">
        <v>31</v>
      </c>
      <c r="D17" s="39" t="s">
        <v>133</v>
      </c>
      <c r="E17" s="36"/>
      <c r="F17" s="36"/>
      <c r="I17" s="46"/>
      <c r="J17" s="44"/>
      <c r="K17" s="46"/>
      <c r="L17" s="46"/>
      <c r="M17" s="46"/>
      <c r="N17" s="46"/>
      <c r="O17" s="40" t="s">
        <v>30</v>
      </c>
      <c r="R17" s="41" t="s">
        <v>32</v>
      </c>
      <c r="S17" s="35" t="s">
        <v>56</v>
      </c>
      <c r="T17" s="34"/>
      <c r="U17" s="36"/>
      <c r="X17" s="44"/>
      <c r="AB17" s="40" t="s">
        <v>24</v>
      </c>
      <c r="AD17" s="155"/>
      <c r="AE17" s="155"/>
      <c r="AF17" s="155"/>
      <c r="AG17" s="155"/>
      <c r="AH17" s="155"/>
      <c r="AI17" s="155"/>
      <c r="AJ17" s="155"/>
      <c r="AK17" s="155"/>
      <c r="AL17" s="155"/>
      <c r="AM17" s="17"/>
      <c r="AN17" s="17"/>
      <c r="AO17" s="17"/>
      <c r="AP17" s="17"/>
      <c r="AQ17" s="17"/>
      <c r="AR17" s="17"/>
      <c r="AS17" s="17"/>
      <c r="AT17" s="17"/>
      <c r="AU17" s="74" t="s">
        <v>24</v>
      </c>
      <c r="AV17" s="130">
        <v>834</v>
      </c>
      <c r="AW17" s="130">
        <v>687</v>
      </c>
      <c r="AX17" s="130">
        <v>599</v>
      </c>
      <c r="AY17" s="130">
        <v>483</v>
      </c>
      <c r="AZ17" s="130">
        <v>483</v>
      </c>
      <c r="BA17" s="130">
        <v>483</v>
      </c>
      <c r="BB17" s="130">
        <v>483</v>
      </c>
      <c r="BC17" s="130">
        <v>425</v>
      </c>
      <c r="BD17" s="131">
        <v>321</v>
      </c>
      <c r="BE17" s="25"/>
      <c r="BF17" s="25"/>
      <c r="BG17" s="35"/>
      <c r="BH17" s="35"/>
      <c r="BI17" s="35"/>
      <c r="BJ17" s="35"/>
      <c r="BK17" s="35"/>
      <c r="BL17" s="35"/>
    </row>
    <row r="18" spans="2:64" s="13" customFormat="1" x14ac:dyDescent="0.25">
      <c r="B18" s="38"/>
      <c r="D18" s="126" t="s">
        <v>49</v>
      </c>
      <c r="G18" s="34"/>
      <c r="I18" s="46"/>
      <c r="J18" s="44"/>
      <c r="O18" s="40" t="s">
        <v>30</v>
      </c>
      <c r="R18" s="35"/>
      <c r="S18" s="35" t="s">
        <v>57</v>
      </c>
      <c r="V18" s="34"/>
      <c r="X18" s="44"/>
      <c r="AB18" s="40" t="s">
        <v>24</v>
      </c>
      <c r="AD18" s="155"/>
      <c r="AE18" s="155"/>
      <c r="AF18" s="155"/>
      <c r="AG18" s="155"/>
      <c r="AH18" s="155"/>
      <c r="AI18" s="155"/>
      <c r="AJ18" s="155"/>
      <c r="AK18" s="155"/>
      <c r="AL18" s="155"/>
      <c r="AM18" s="17"/>
      <c r="AN18" s="17"/>
      <c r="AO18" s="17"/>
      <c r="AP18" s="17"/>
      <c r="AQ18" s="17"/>
      <c r="AR18" s="17"/>
      <c r="AS18" s="17"/>
      <c r="AT18" s="17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35"/>
      <c r="BH18" s="35"/>
      <c r="BI18" s="35"/>
      <c r="BJ18" s="35"/>
      <c r="BK18" s="35"/>
      <c r="BL18" s="35"/>
    </row>
    <row r="19" spans="2:64" s="13" customFormat="1" x14ac:dyDescent="0.25">
      <c r="D19" s="126" t="s">
        <v>50</v>
      </c>
      <c r="H19" s="34"/>
      <c r="I19" s="46"/>
      <c r="J19" s="44"/>
      <c r="O19" s="40" t="s">
        <v>30</v>
      </c>
      <c r="R19" s="35"/>
      <c r="S19" s="35" t="s">
        <v>58</v>
      </c>
      <c r="W19" s="34"/>
      <c r="X19" s="44"/>
      <c r="AB19" s="40" t="s">
        <v>24</v>
      </c>
      <c r="AD19" s="155"/>
      <c r="AE19" s="155"/>
      <c r="AF19" s="155"/>
      <c r="AG19" s="155"/>
      <c r="AH19" s="155"/>
      <c r="AI19" s="155"/>
      <c r="AJ19" s="155"/>
      <c r="AK19" s="155"/>
      <c r="AL19" s="155"/>
      <c r="AM19" s="17"/>
      <c r="AN19" s="17"/>
      <c r="AO19" s="17"/>
      <c r="AP19" s="17"/>
      <c r="AQ19" s="17"/>
      <c r="AR19" s="17"/>
      <c r="AS19" s="17"/>
      <c r="AT19" s="17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35"/>
      <c r="BH19" s="35"/>
      <c r="BI19" s="35"/>
      <c r="BJ19" s="35"/>
      <c r="BK19" s="35"/>
      <c r="BL19" s="35"/>
    </row>
    <row r="20" spans="2:64" s="13" customFormat="1" x14ac:dyDescent="0.25">
      <c r="D20" s="123" t="s">
        <v>51</v>
      </c>
      <c r="I20" s="34"/>
      <c r="J20" s="44"/>
      <c r="O20" s="40" t="s">
        <v>30</v>
      </c>
      <c r="R20" s="35"/>
      <c r="S20" s="25" t="s">
        <v>135</v>
      </c>
      <c r="T20" s="17"/>
      <c r="U20" s="17"/>
      <c r="V20" s="17"/>
      <c r="W20" s="17"/>
      <c r="X20" s="45"/>
      <c r="Y20" s="17"/>
      <c r="Z20" s="17"/>
      <c r="AA20" s="17"/>
      <c r="AB20" s="40" t="s">
        <v>24</v>
      </c>
      <c r="AE20" s="155"/>
      <c r="AF20" s="155"/>
      <c r="AG20" s="155"/>
      <c r="AH20" s="155"/>
      <c r="AI20" s="155"/>
      <c r="AJ20" s="155"/>
      <c r="AK20" s="155"/>
      <c r="AL20" s="17"/>
      <c r="AM20" s="17"/>
      <c r="AN20" s="17"/>
      <c r="AO20" s="17"/>
      <c r="AP20" s="17"/>
      <c r="AQ20" s="17"/>
      <c r="AR20" s="17"/>
      <c r="AS20" s="17"/>
      <c r="AT20" s="17"/>
      <c r="AU20" s="74" t="s">
        <v>80</v>
      </c>
      <c r="AV20" s="74"/>
      <c r="AW20" s="74"/>
      <c r="AX20" s="74"/>
      <c r="AY20" s="74"/>
      <c r="AZ20" s="74"/>
      <c r="BA20" s="74"/>
      <c r="BB20" s="76"/>
      <c r="BC20" s="76"/>
      <c r="BD20" s="76"/>
      <c r="BE20" s="76"/>
      <c r="BF20" s="25"/>
      <c r="BG20" s="35"/>
      <c r="BH20" s="35"/>
      <c r="BI20" s="35"/>
      <c r="BJ20" s="35"/>
      <c r="BK20" s="35"/>
      <c r="BL20" s="35"/>
    </row>
    <row r="21" spans="2:64" ht="15.75" x14ac:dyDescent="0.25">
      <c r="B21" s="40"/>
      <c r="C21" s="13"/>
      <c r="D21" s="123" t="s">
        <v>134</v>
      </c>
      <c r="E21" s="35"/>
      <c r="F21" s="13"/>
      <c r="G21" s="13"/>
      <c r="H21" s="13"/>
      <c r="I21" s="46"/>
      <c r="J21" s="45"/>
      <c r="K21" s="40"/>
      <c r="L21" s="40"/>
      <c r="M21" s="40"/>
      <c r="N21" s="40"/>
      <c r="O21" s="40" t="s">
        <v>30</v>
      </c>
      <c r="Q21" s="13"/>
      <c r="R21" s="25"/>
      <c r="S21" s="126" t="s">
        <v>59</v>
      </c>
      <c r="X21" s="44"/>
      <c r="Y21" s="24"/>
      <c r="Z21" s="34"/>
      <c r="AB21" s="40" t="s">
        <v>24</v>
      </c>
      <c r="AD21" s="154" t="s">
        <v>139</v>
      </c>
      <c r="AE21" s="155"/>
      <c r="AF21" s="155"/>
      <c r="AG21" s="155"/>
      <c r="AH21" s="155"/>
      <c r="AI21" s="155"/>
      <c r="AJ21" s="155"/>
      <c r="AK21" s="155"/>
      <c r="AU21" s="74" t="s">
        <v>25</v>
      </c>
      <c r="AV21" s="74">
        <v>1.5</v>
      </c>
      <c r="AW21" s="74">
        <v>1.6</v>
      </c>
      <c r="AX21" s="74">
        <v>5</v>
      </c>
      <c r="AY21" s="74">
        <v>30</v>
      </c>
      <c r="AZ21" s="74">
        <v>38</v>
      </c>
      <c r="BA21" s="74">
        <v>40</v>
      </c>
      <c r="BB21" s="74"/>
      <c r="BC21" s="74"/>
      <c r="BD21" s="74"/>
      <c r="BE21" s="74"/>
      <c r="BF21" s="74"/>
      <c r="BG21" s="25"/>
      <c r="BH21" s="25"/>
      <c r="BI21" s="25"/>
      <c r="BJ21" s="25"/>
      <c r="BK21" s="25"/>
      <c r="BL21" s="25"/>
    </row>
    <row r="22" spans="2:64" x14ac:dyDescent="0.25">
      <c r="B22" s="17"/>
      <c r="C22" s="25"/>
      <c r="D22" s="25"/>
      <c r="R22" s="25"/>
      <c r="S22" s="126" t="s">
        <v>60</v>
      </c>
      <c r="X22" s="44"/>
      <c r="AA22" s="34"/>
      <c r="AB22" s="40" t="s">
        <v>24</v>
      </c>
      <c r="AE22" s="155"/>
      <c r="AF22" s="155"/>
      <c r="AG22" s="155"/>
      <c r="AH22" s="155"/>
      <c r="AI22" s="155"/>
      <c r="AJ22" s="155"/>
      <c r="AK22" s="155"/>
      <c r="AL22" s="155"/>
      <c r="AU22" s="74" t="s">
        <v>87</v>
      </c>
      <c r="AV22" s="130">
        <v>771.80769230769226</v>
      </c>
      <c r="AW22" s="130">
        <v>766.15384615384619</v>
      </c>
      <c r="AX22" s="130">
        <v>661.85714285714289</v>
      </c>
      <c r="AY22" s="130">
        <v>540</v>
      </c>
      <c r="AZ22" s="130">
        <v>516.4</v>
      </c>
      <c r="BA22" s="130">
        <v>510.5</v>
      </c>
      <c r="BB22" s="76"/>
      <c r="BC22" s="76"/>
      <c r="BD22" s="76"/>
      <c r="BE22" s="76"/>
      <c r="BF22" s="76"/>
      <c r="BG22" s="25"/>
      <c r="BH22" s="25"/>
      <c r="BI22" s="25"/>
      <c r="BJ22" s="25"/>
      <c r="BK22" s="25"/>
      <c r="BL22" s="25"/>
    </row>
    <row r="23" spans="2:64" x14ac:dyDescent="0.25">
      <c r="B23" s="17"/>
      <c r="C23" s="25"/>
      <c r="D23" s="25"/>
      <c r="R23" s="73" t="s">
        <v>22</v>
      </c>
      <c r="S23" s="13" t="s">
        <v>56</v>
      </c>
      <c r="T23" s="34"/>
      <c r="U23" s="36"/>
      <c r="V23" s="13"/>
      <c r="W23" s="13"/>
      <c r="X23" s="44"/>
      <c r="Y23" s="13"/>
      <c r="Z23" s="13"/>
      <c r="AA23" s="13"/>
      <c r="AB23" s="40" t="s">
        <v>24</v>
      </c>
      <c r="AE23" s="155"/>
      <c r="AF23" s="155"/>
      <c r="AG23" s="155"/>
      <c r="AH23" s="155"/>
      <c r="AI23" s="155"/>
      <c r="AJ23" s="155"/>
      <c r="AK23" s="155"/>
      <c r="AL23" s="155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25"/>
      <c r="BG23" s="25"/>
      <c r="BH23" s="25"/>
      <c r="BI23" s="25"/>
      <c r="BJ23" s="25"/>
      <c r="BK23" s="25"/>
      <c r="BL23" s="25"/>
    </row>
    <row r="24" spans="2:64" x14ac:dyDescent="0.25">
      <c r="B24" s="17"/>
      <c r="R24" s="13"/>
      <c r="S24" s="13" t="s">
        <v>57</v>
      </c>
      <c r="T24" s="13"/>
      <c r="U24" s="13"/>
      <c r="V24" s="34"/>
      <c r="W24" s="13"/>
      <c r="X24" s="44"/>
      <c r="Y24" s="13"/>
      <c r="Z24" s="13"/>
      <c r="AA24" s="13"/>
      <c r="AB24" s="40" t="s">
        <v>24</v>
      </c>
      <c r="AD24" s="155"/>
      <c r="AE24" s="155"/>
      <c r="AF24" s="155"/>
      <c r="AG24" s="155"/>
      <c r="AH24" s="155"/>
      <c r="AI24" s="155"/>
      <c r="AJ24" s="155"/>
      <c r="AK24" s="155"/>
      <c r="AL24" s="155"/>
      <c r="AU24" s="74" t="s">
        <v>81</v>
      </c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25"/>
      <c r="BG24" s="25"/>
      <c r="BH24" s="25"/>
      <c r="BI24" s="25"/>
      <c r="BJ24" s="25"/>
      <c r="BK24" s="25"/>
      <c r="BL24" s="25"/>
    </row>
    <row r="25" spans="2:64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R25" s="13"/>
      <c r="S25" s="13" t="s">
        <v>58</v>
      </c>
      <c r="T25" s="13"/>
      <c r="U25" s="13"/>
      <c r="V25" s="13"/>
      <c r="W25" s="34"/>
      <c r="X25" s="44"/>
      <c r="Y25" s="13"/>
      <c r="Z25" s="13"/>
      <c r="AA25" s="13"/>
      <c r="AB25" s="40" t="s">
        <v>24</v>
      </c>
      <c r="AD25" s="155"/>
      <c r="AE25" s="155"/>
      <c r="AF25" s="155"/>
      <c r="AG25" s="155"/>
      <c r="AH25" s="155"/>
      <c r="AI25" s="155"/>
      <c r="AJ25" s="155"/>
      <c r="AK25" s="155"/>
      <c r="AL25" s="155"/>
      <c r="AU25" s="74" t="s">
        <v>25</v>
      </c>
      <c r="AV25" s="74">
        <v>62.1</v>
      </c>
      <c r="AW25" s="74">
        <v>400</v>
      </c>
      <c r="AX25" s="74">
        <v>630</v>
      </c>
      <c r="AY25" s="74"/>
      <c r="AZ25" s="74"/>
      <c r="BA25" s="74"/>
      <c r="BB25" s="74"/>
      <c r="BC25" s="74"/>
      <c r="BD25" s="74"/>
      <c r="BE25" s="74"/>
      <c r="BF25" s="25"/>
      <c r="BG25" s="25"/>
      <c r="BH25" s="25"/>
      <c r="BI25" s="25"/>
      <c r="BJ25" s="25"/>
      <c r="BK25" s="25"/>
      <c r="BL25" s="25"/>
    </row>
    <row r="26" spans="2:64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S26" s="17" t="s">
        <v>135</v>
      </c>
      <c r="X26" s="45"/>
      <c r="AB26" s="40" t="s">
        <v>24</v>
      </c>
      <c r="AD26" s="155"/>
      <c r="AE26" s="155"/>
      <c r="AF26" s="155"/>
      <c r="AG26" s="155"/>
      <c r="AH26" s="155"/>
      <c r="AI26" s="155"/>
      <c r="AJ26" s="155"/>
      <c r="AK26" s="155"/>
      <c r="AL26" s="155"/>
      <c r="AU26" s="74" t="s">
        <v>87</v>
      </c>
      <c r="AV26" s="130">
        <v>483</v>
      </c>
      <c r="AW26" s="130">
        <v>483</v>
      </c>
      <c r="AX26" s="130">
        <v>463.23333333333335</v>
      </c>
      <c r="AY26" s="76"/>
      <c r="AZ26" s="76"/>
      <c r="BA26" s="76"/>
      <c r="BB26" s="76"/>
      <c r="BC26" s="76"/>
      <c r="BD26" s="76"/>
      <c r="BE26" s="74"/>
      <c r="BF26" s="25"/>
      <c r="BG26" s="25"/>
      <c r="BH26" s="25"/>
      <c r="BI26" s="25"/>
      <c r="BJ26" s="25"/>
      <c r="BK26" s="25"/>
      <c r="BL26" s="25"/>
    </row>
    <row r="27" spans="2:64" x14ac:dyDescent="0.25">
      <c r="E27" s="42"/>
      <c r="F27" s="42"/>
      <c r="G27" s="42"/>
      <c r="H27" s="42"/>
      <c r="I27" s="42"/>
      <c r="J27" s="42"/>
      <c r="K27" s="42"/>
      <c r="L27" s="42"/>
      <c r="M27" s="42"/>
      <c r="N27" s="42"/>
      <c r="S27" s="126" t="s">
        <v>59</v>
      </c>
      <c r="X27" s="44"/>
      <c r="Y27" s="24"/>
      <c r="Z27" s="34"/>
      <c r="AB27" s="40" t="s">
        <v>24</v>
      </c>
      <c r="AD27" s="155"/>
      <c r="AE27" s="155"/>
      <c r="AF27" s="155"/>
      <c r="AG27" s="155"/>
      <c r="AH27" s="155"/>
      <c r="AI27" s="155"/>
      <c r="AJ27" s="155"/>
      <c r="AK27" s="155"/>
      <c r="AL27" s="155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25"/>
      <c r="BG27" s="25"/>
      <c r="BH27" s="25"/>
      <c r="BI27" s="25"/>
      <c r="BJ27" s="25"/>
      <c r="BK27" s="25"/>
      <c r="BL27" s="25"/>
    </row>
    <row r="28" spans="2:64" x14ac:dyDescent="0.25">
      <c r="E28" s="42"/>
      <c r="F28" s="42"/>
      <c r="G28" s="42"/>
      <c r="H28" s="42"/>
      <c r="I28" s="42"/>
      <c r="J28" s="42"/>
      <c r="K28" s="42"/>
      <c r="L28" s="42"/>
      <c r="M28" s="42"/>
      <c r="N28" s="42"/>
      <c r="S28" s="126" t="s">
        <v>60</v>
      </c>
      <c r="X28" s="44"/>
      <c r="AA28" s="34"/>
      <c r="AB28" s="40" t="s">
        <v>24</v>
      </c>
      <c r="AD28" s="155"/>
      <c r="AE28" s="155"/>
      <c r="AF28" s="155"/>
      <c r="AG28" s="155"/>
      <c r="AH28" s="155"/>
      <c r="AI28" s="155"/>
      <c r="AJ28" s="155"/>
      <c r="AK28" s="155"/>
      <c r="AL28" s="155"/>
      <c r="AU28" s="74" t="s">
        <v>82</v>
      </c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25"/>
      <c r="BG28" s="25"/>
      <c r="BH28" s="25"/>
      <c r="BI28" s="25"/>
      <c r="BJ28" s="25"/>
      <c r="BK28" s="25"/>
      <c r="BL28" s="25"/>
    </row>
    <row r="29" spans="2:64" x14ac:dyDescent="0.25">
      <c r="AD29" s="155"/>
      <c r="AE29" s="155"/>
      <c r="AF29" s="155"/>
      <c r="AG29" s="155"/>
      <c r="AH29" s="155"/>
      <c r="AI29" s="155"/>
      <c r="AJ29" s="155"/>
      <c r="AK29" s="155"/>
      <c r="AL29" s="155"/>
      <c r="AU29" s="74" t="s">
        <v>25</v>
      </c>
      <c r="AV29" s="74">
        <v>0.7</v>
      </c>
      <c r="AW29" s="74">
        <v>1.64</v>
      </c>
      <c r="AX29" s="74"/>
      <c r="AY29" s="74"/>
      <c r="AZ29" s="74"/>
      <c r="BA29" s="74"/>
      <c r="BB29" s="74"/>
      <c r="BC29" s="74"/>
      <c r="BD29" s="74"/>
      <c r="BE29" s="74"/>
      <c r="BF29" s="25"/>
      <c r="BG29" s="25"/>
      <c r="BH29" s="25"/>
      <c r="BI29" s="25"/>
      <c r="BJ29" s="25"/>
      <c r="BK29" s="25"/>
      <c r="BL29" s="25"/>
    </row>
    <row r="30" spans="2:64" x14ac:dyDescent="0.25">
      <c r="G30" s="165"/>
      <c r="P30" s="165"/>
      <c r="Q30" s="165"/>
      <c r="AD30" s="155"/>
      <c r="AE30" s="155"/>
      <c r="AF30" s="155"/>
      <c r="AG30" s="155"/>
      <c r="AH30" s="155"/>
      <c r="AI30" s="155"/>
      <c r="AJ30" s="155"/>
      <c r="AK30" s="155"/>
      <c r="AL30" s="155"/>
      <c r="AU30" s="74" t="s">
        <v>87</v>
      </c>
      <c r="AV30" s="76">
        <v>817.03846153846155</v>
      </c>
      <c r="AW30" s="76">
        <v>763.89230769230767</v>
      </c>
      <c r="AX30" s="76"/>
      <c r="AY30" s="76"/>
      <c r="AZ30" s="76"/>
      <c r="BA30" s="76"/>
      <c r="BB30" s="76"/>
      <c r="BC30" s="76"/>
      <c r="BD30" s="76"/>
      <c r="BE30" s="76"/>
      <c r="BF30" s="25"/>
      <c r="BG30" s="25"/>
      <c r="BH30" s="25"/>
      <c r="BI30" s="25"/>
      <c r="BJ30" s="25"/>
      <c r="BK30" s="25"/>
      <c r="BL30" s="25"/>
    </row>
    <row r="31" spans="2:64" x14ac:dyDescent="0.25">
      <c r="P31" s="165"/>
      <c r="Q31" s="165"/>
      <c r="AD31" s="155"/>
      <c r="AE31" s="155"/>
      <c r="AF31" s="155"/>
      <c r="AG31" s="155"/>
      <c r="AH31" s="155"/>
      <c r="AI31" s="155"/>
      <c r="AJ31" s="155"/>
      <c r="AK31" s="155"/>
      <c r="AL31" s="155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25"/>
      <c r="BG31" s="25"/>
      <c r="BH31" s="25"/>
      <c r="BI31" s="25"/>
      <c r="BJ31" s="25"/>
      <c r="BK31" s="25"/>
      <c r="BL31" s="25"/>
    </row>
    <row r="32" spans="2:64" x14ac:dyDescent="0.25">
      <c r="B32" s="26" t="str">
        <f>IF(obliczenia!$A$21=2,IF(obliczenia!$D$21=1,"TAK",""),"")</f>
        <v>TAK</v>
      </c>
      <c r="C32" s="27" t="s">
        <v>27</v>
      </c>
      <c r="D32" s="28">
        <f>IF(B32="TAK",IF(AND((interface!$D$30/1000)&gt;=0.4,(interface!$D$30/1000)&lt;3)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(interface!$D$30/1000)&gt;=50,W$6)))),"")</f>
        <v>596.1</v>
      </c>
      <c r="E32" s="27" t="str">
        <f>IF(B32="TAK","PLN/MWh","")</f>
        <v>PLN/MWh</v>
      </c>
      <c r="P32" s="165"/>
      <c r="Q32" s="165"/>
      <c r="AD32" s="155"/>
      <c r="AE32" s="155"/>
      <c r="AF32" s="155"/>
      <c r="AG32" s="155"/>
      <c r="AH32" s="155"/>
      <c r="AI32" s="155"/>
      <c r="AJ32" s="155"/>
      <c r="AK32" s="155"/>
      <c r="AU32" s="74" t="s">
        <v>76</v>
      </c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25"/>
    </row>
    <row r="33" spans="2:64" x14ac:dyDescent="0.25">
      <c r="B33" s="26" t="str">
        <f>IF(obliczenia!$A$21=2,IF(obliczenia!$D$21=2,"TAK",""),"")</f>
        <v/>
      </c>
      <c r="C33" s="27" t="s">
        <v>28</v>
      </c>
      <c r="D33" s="28" t="str">
        <f>IF(B33="TAK",IF(AND((interface!$D$30/1000)&gt;=50,(interface!$D$30/1000)&lt;400),W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,"")</f>
        <v/>
      </c>
      <c r="E33" s="27" t="str">
        <f>IF(B33="TAK","PLN/MWh","")</f>
        <v/>
      </c>
      <c r="AD33" s="155"/>
      <c r="AE33" s="155"/>
      <c r="AF33" s="155"/>
      <c r="AG33" s="155"/>
      <c r="AH33" s="155"/>
      <c r="AI33" s="155"/>
      <c r="AJ33" s="155"/>
      <c r="AK33" s="155"/>
      <c r="AU33" s="74" t="s">
        <v>26</v>
      </c>
      <c r="AV33" s="74">
        <v>10</v>
      </c>
      <c r="AW33" s="74">
        <v>20</v>
      </c>
      <c r="AX33" s="74">
        <v>50</v>
      </c>
      <c r="AY33" s="74"/>
      <c r="BA33" s="74"/>
      <c r="BB33" s="74"/>
      <c r="BC33" s="74"/>
      <c r="BD33" s="74"/>
      <c r="BE33" s="49"/>
      <c r="BG33" s="74"/>
      <c r="BH33" s="74"/>
      <c r="BI33" s="74"/>
      <c r="BJ33" s="74"/>
      <c r="BK33" s="74"/>
      <c r="BL33" s="74"/>
    </row>
    <row r="34" spans="2:64" x14ac:dyDescent="0.25">
      <c r="B34" s="26" t="str">
        <f>IF(obliczenia!$A$21=2,IF(obliczenia!$D$21=3,"TAK",""),"")</f>
        <v/>
      </c>
      <c r="C34" s="27" t="s">
        <v>29</v>
      </c>
      <c r="D34" s="28" t="str">
        <f>IF(B34="TAK",IF(AND((interface!$D$30/1000)&gt;=0.4,(interface!$D$30/1000)&lt;3),T$6-(T$6-U$6)*((interface!$D$30/1000)-T$4)/(U$4-T$4),IF(AND((interface!$D$30/1000)&gt;=3,(interface!$D$30/1000)&lt;10),U$6-(U$6-V$6)*((interface!$D$30/1000)-U$4)/(V$4-U$4),IF((interface!$D$30/1000)&gt;=10,V$6))),"")</f>
        <v/>
      </c>
      <c r="E34" s="27" t="str">
        <f>IF(B34="TAK","PLN/MWh","")</f>
        <v/>
      </c>
      <c r="AD34" s="155"/>
      <c r="AE34" s="155"/>
      <c r="AF34" s="155"/>
      <c r="AG34" s="155"/>
      <c r="AH34" s="155"/>
      <c r="AI34" s="155"/>
      <c r="AJ34" s="155"/>
      <c r="AK34" s="155"/>
      <c r="AL34" s="155"/>
      <c r="AU34" s="74" t="s">
        <v>23</v>
      </c>
      <c r="AV34" s="76">
        <v>3.8220000000000001</v>
      </c>
      <c r="AW34" s="76">
        <v>3.8220000000000001</v>
      </c>
      <c r="AX34" s="76">
        <v>3.8220000000000001</v>
      </c>
      <c r="AY34" s="76"/>
      <c r="BA34" s="76"/>
      <c r="BB34" s="76"/>
      <c r="BC34" s="76"/>
      <c r="BD34" s="76"/>
      <c r="BE34" s="76"/>
      <c r="BG34" s="76"/>
      <c r="BH34" s="76"/>
      <c r="BI34" s="76"/>
      <c r="BJ34" s="76"/>
      <c r="BK34" s="76"/>
      <c r="BL34" s="76"/>
    </row>
    <row r="35" spans="2:64" x14ac:dyDescent="0.25">
      <c r="B35" s="26" t="str">
        <f>IF(obliczenia!$A$21=2,IF(obliczenia!$D$21=4,"TAK",""),"")</f>
        <v/>
      </c>
      <c r="C35" s="27" t="s">
        <v>18</v>
      </c>
      <c r="D35" s="28" t="str">
        <f>IF(B35="TAK",IF(AND(interface!$E$26&gt;=0.05,interface!$E$26&lt;50),K$5,IF(AND(interface!$E$26&gt;=50,interface!$E$26&lt;100),K$5-(K$5-L$5)*(interface!$E$26-K$4)/(L$4-K$4),IF(AND(interface!$E$26&gt;=100,interface!$E$26&lt;200),L$5-(L$5-M$5)*(interface!$E$26-L$4)/(M$4-L$4),IF(AND(interface!$E$26&gt;=200,interface!$E$26&lt;460),M$5-(M$5-N$5)*(interface!$E$26-M$4)/(N$4-M$4),IF(interface!$E$26&gt;=460,N$5))))),"")</f>
        <v/>
      </c>
      <c r="E35" s="27" t="str">
        <f>IF(B35="TAK","mln PLN/MWe","")</f>
        <v/>
      </c>
      <c r="AD35" s="155"/>
      <c r="AE35" s="155"/>
      <c r="AF35" s="155"/>
      <c r="AG35" s="155"/>
      <c r="AH35" s="155"/>
      <c r="AI35" s="155"/>
      <c r="AJ35" s="155"/>
      <c r="AK35" s="155"/>
      <c r="AL35" s="15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2:64" x14ac:dyDescent="0.25">
      <c r="B36" s="26" t="str">
        <f>IF(obliczenia!$A$21=2,IF(obliczenia!$D$21=5,"TAK",""),"")</f>
        <v/>
      </c>
      <c r="C36" s="27" t="s">
        <v>21</v>
      </c>
      <c r="D36" s="28" t="str">
        <f>IF(B36="TAK",IF(AND(interface!$E$26&gt;=0.05,interface!$E$26&lt;1),E$5-(E$5-F$5)*(interface!$E$26-E$4)/(F$4-E$4),IF(AND(interface!$E$26&gt;=1,interface!$E$26&lt;10),F$5-(F$5-G$5)*(interface!$E$26-F$4)/(G$4-F$4),                                       IF(AND(interface!$E$26&gt;=10,interface!$E$26&lt;20),G$5-(G$5-H$5)*(interface!$E$26-G$4)/(H$4-G$4),IF(AND(interface!$E$26&gt;=20,interface!$E$26&lt;35),H$5-(H$5-I$5)*(interface!$E$26-H$4)/(I$4-H$4),IF(AND(interface!$E$26&gt;=35,interface!$E$26&lt;50),I$5-(I$5-J$5)*(interface!$E$26-I$4)/(J$4-I$4),IF(interface!$E$26&gt;=50,J$5)))))),"")</f>
        <v/>
      </c>
      <c r="E36" s="27" t="str">
        <f>IF(B36="TAK","mln PLN/MWe","")</f>
        <v/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Y36" s="16"/>
      <c r="Z36" s="16"/>
      <c r="AA36" s="16"/>
      <c r="AB36" s="16"/>
      <c r="AD36" s="155"/>
      <c r="AE36" s="155"/>
      <c r="AF36" s="155"/>
      <c r="AG36" s="155"/>
      <c r="AH36" s="155"/>
      <c r="AI36" s="155"/>
      <c r="AJ36" s="155"/>
      <c r="AK36" s="155"/>
      <c r="AU36" s="74" t="s">
        <v>77</v>
      </c>
      <c r="AV36" s="74"/>
      <c r="AW36" s="74"/>
      <c r="AX36" s="74"/>
      <c r="AY36" s="74"/>
      <c r="AZ36" s="74"/>
      <c r="BA36" s="74"/>
      <c r="BB36" s="74"/>
      <c r="BC36" s="74"/>
      <c r="BD36" s="74"/>
      <c r="BE36" s="76"/>
      <c r="BF36" s="78"/>
      <c r="BG36" s="78"/>
      <c r="BH36" s="78"/>
      <c r="BI36" s="78"/>
      <c r="BJ36" s="78"/>
      <c r="BK36" s="78"/>
      <c r="BL36" s="25"/>
    </row>
    <row r="37" spans="2:64" x14ac:dyDescent="0.25">
      <c r="B37" s="26" t="str">
        <f>IF(obliczenia!$A$21=2,IF(obliczenia!$D$21=6,"TAK",""),"")</f>
        <v/>
      </c>
      <c r="C37" s="27" t="s">
        <v>31</v>
      </c>
      <c r="D37" s="28" t="str">
        <f>IF(B37="TAK",IF(AND(interface!$E$26&gt;=0.05,interface!$E$26&lt;1),E$5-(E$5-F$5)*(interface!$E$26-E$4)/(F$4-E$4),IF(AND(interface!$E$26&gt;=1,interface!$E$26&lt;10),F$5-(F$5-G$5)*(interface!$E$26-F$4)/(G$4-F$4),                                       IF(AND(interface!$E$26&gt;=10,interface!$E$26&lt;20),G$5-(G$5-H$5)*(interface!$E$26-G$4)/(H$4-G$4),IF(AND(interface!$E$26&gt;=20,interface!$E$26&lt;35),H$5-(H$5-I$5)*(interface!$E$26-H$4)/(I$4-H$4),IF(AND(interface!$E$26&gt;=35,interface!$E$26&lt;50),I$5-(I$5-J$5)*(interface!$E$26-I$4)/(J$4-I$4),IF(interface!$E$26&gt;=50,J$5)))))),"")</f>
        <v/>
      </c>
      <c r="E37" s="27" t="str">
        <f>IF(B37="TAK","mln PLN/MWe","")</f>
        <v/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Y37" s="16"/>
      <c r="Z37" s="16"/>
      <c r="AA37" s="16"/>
      <c r="AB37" s="16"/>
      <c r="AD37" s="155"/>
      <c r="AE37" s="155"/>
      <c r="AF37" s="155"/>
      <c r="AG37" s="155"/>
      <c r="AH37" s="155"/>
      <c r="AI37" s="155"/>
      <c r="AJ37" s="155"/>
      <c r="AK37" s="155"/>
      <c r="AU37" s="74" t="s">
        <v>26</v>
      </c>
      <c r="AV37" s="74">
        <v>0.1</v>
      </c>
      <c r="AW37" s="74">
        <v>0.37</v>
      </c>
      <c r="AX37" s="74">
        <v>0.66</v>
      </c>
      <c r="AY37" s="74">
        <v>1.9</v>
      </c>
      <c r="AZ37" s="74"/>
      <c r="BA37" s="74"/>
      <c r="BB37" s="74"/>
      <c r="BC37" s="74"/>
      <c r="BD37" s="74"/>
      <c r="BE37" s="74"/>
      <c r="BF37" s="25"/>
      <c r="BG37" s="25"/>
      <c r="BH37" s="25"/>
      <c r="BI37" s="25"/>
      <c r="BJ37" s="25"/>
      <c r="BK37" s="25"/>
      <c r="BL37" s="25"/>
    </row>
    <row r="38" spans="2:64" x14ac:dyDescent="0.25">
      <c r="B38" s="26" t="str">
        <f>IF(obliczenia!$A$21=2,IF(obliczenia!$D$21=7,"TAK",""),"")</f>
        <v/>
      </c>
      <c r="C38" s="27" t="s">
        <v>32</v>
      </c>
      <c r="D38" s="167" t="str">
        <f>IF(B38="TAK",IF((interface!$D$30/1000)&lt;3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AND((interface!$D$30/1000)&gt;=50,(interface!$D$30/1000)&lt;200),W$6-(W$6-X$6)*((interface!$D$30/1000)-W$4)/(X$4-W$4),IF(AND((interface!$D$30/1000)&gt;=200,(interface!$D$30/1000)&lt;400),X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)))),"")</f>
        <v/>
      </c>
      <c r="E38" s="166" t="str">
        <f>IF(B38="TAK","PLN/MWh","")</f>
        <v/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16"/>
      <c r="AD38" s="155"/>
      <c r="AE38" s="155"/>
      <c r="AF38" s="155"/>
      <c r="AG38" s="155"/>
      <c r="AH38" s="155"/>
      <c r="AI38" s="155"/>
      <c r="AJ38" s="155"/>
      <c r="AK38" s="155"/>
      <c r="AL38" s="155"/>
      <c r="AU38" s="74" t="s">
        <v>23</v>
      </c>
      <c r="AV38" s="76">
        <v>5.7100000000000009</v>
      </c>
      <c r="AW38" s="76">
        <v>5.4670000000000005</v>
      </c>
      <c r="AX38" s="76">
        <v>5.2060000000000004</v>
      </c>
      <c r="AY38" s="76">
        <v>4.7640000000000002</v>
      </c>
      <c r="AZ38" s="76"/>
      <c r="BA38" s="76"/>
      <c r="BB38" s="76"/>
      <c r="BC38" s="76"/>
      <c r="BD38" s="76"/>
      <c r="BE38" s="76"/>
      <c r="BF38" s="25"/>
      <c r="BG38" s="25"/>
      <c r="BH38" s="25"/>
      <c r="BI38" s="25"/>
      <c r="BJ38" s="25"/>
      <c r="BK38" s="25"/>
      <c r="BL38" s="25"/>
    </row>
    <row r="39" spans="2:64" x14ac:dyDescent="0.25">
      <c r="B39" s="26" t="str">
        <f>IF(obliczenia!$A$21=2,IF(obliczenia!$D$21=8,"TAK",""),"")</f>
        <v/>
      </c>
      <c r="C39" s="27" t="s">
        <v>22</v>
      </c>
      <c r="D39" s="37" t="str">
        <f>IF(B39="TAK",IF((interface!$D$30/1000)&lt;3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AND((interface!$D$30/1000)&gt;=50,(interface!$D$30/1000)&lt;200),W$6-(W$6-X$6)*((interface!$D$30/1000)-W$4)/(X$4-W$4),IF(AND((interface!$D$30/1000)&gt;=200,(interface!$D$30/1000)&lt;400),X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)))),"")</f>
        <v/>
      </c>
      <c r="E39" s="29" t="str">
        <f>IF(B39="TAK","PLN/MWh","")</f>
        <v/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AA39" s="16"/>
      <c r="AB39" s="16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2:64" x14ac:dyDescent="0.25">
      <c r="D40" s="30">
        <f>IF(obliczenia!A21=2,VLOOKUP("TAK",B32:E39,3,0),"")</f>
        <v>596.1</v>
      </c>
      <c r="E40" s="27" t="str">
        <f>IF(obliczenia!A21=2,VLOOKUP("TAK",B32:E39,4,0),"")</f>
        <v>PLN/MWh</v>
      </c>
      <c r="F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AA40" s="16"/>
      <c r="AB40" s="16"/>
      <c r="AU40" s="74" t="s">
        <v>78</v>
      </c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25"/>
      <c r="BG40" s="25"/>
      <c r="BH40" s="25"/>
      <c r="BI40" s="25"/>
      <c r="BJ40" s="25"/>
      <c r="BK40" s="25"/>
      <c r="BL40" s="25"/>
    </row>
    <row r="41" spans="2:64" x14ac:dyDescent="0.25">
      <c r="F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U41" s="74" t="s">
        <v>26</v>
      </c>
      <c r="AV41" s="132">
        <v>0.4</v>
      </c>
      <c r="AW41" s="132">
        <v>0.7</v>
      </c>
      <c r="AX41" s="132">
        <v>1.1399999999999999</v>
      </c>
      <c r="AY41" s="74"/>
      <c r="AZ41" s="74"/>
      <c r="BA41" s="74"/>
      <c r="BB41" s="74"/>
      <c r="BC41" s="74"/>
      <c r="BD41" s="74"/>
      <c r="BE41" s="74"/>
      <c r="BF41" s="22"/>
      <c r="BG41" s="22"/>
      <c r="BH41" s="22"/>
      <c r="BI41" s="22"/>
      <c r="BJ41" s="22"/>
      <c r="BK41" s="22"/>
      <c r="BL41" s="25"/>
    </row>
    <row r="42" spans="2:64" x14ac:dyDescent="0.25">
      <c r="AU42" s="74" t="s">
        <v>23</v>
      </c>
      <c r="AV42" s="76">
        <v>5.44</v>
      </c>
      <c r="AW42" s="76">
        <v>5.1700000000000008</v>
      </c>
      <c r="AX42" s="76">
        <v>4.8848888888888888</v>
      </c>
      <c r="AY42" s="76"/>
      <c r="AZ42" s="76"/>
      <c r="BA42" s="76"/>
      <c r="BB42" s="76"/>
      <c r="BC42" s="76"/>
      <c r="BD42" s="76"/>
      <c r="BE42" s="76"/>
      <c r="BF42" s="22"/>
      <c r="BG42" s="22"/>
      <c r="BH42" s="22"/>
      <c r="BI42" s="22"/>
      <c r="BJ42" s="22"/>
      <c r="BK42" s="22"/>
      <c r="BL42" s="25"/>
    </row>
    <row r="43" spans="2:64" x14ac:dyDescent="0.25">
      <c r="Y43" s="16"/>
      <c r="Z43" s="16"/>
      <c r="AU43" s="25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5"/>
    </row>
    <row r="44" spans="2:64" x14ac:dyDescent="0.25">
      <c r="AU44" s="168" t="s">
        <v>79</v>
      </c>
      <c r="AV44" s="169"/>
      <c r="AW44" s="170"/>
      <c r="AX44" s="170"/>
      <c r="AY44" s="80"/>
      <c r="AZ44" s="80"/>
      <c r="BA44" s="80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5"/>
    </row>
    <row r="45" spans="2:64" x14ac:dyDescent="0.25">
      <c r="AU45" s="169" t="s">
        <v>25</v>
      </c>
      <c r="AV45" s="169">
        <v>0.7</v>
      </c>
      <c r="AW45" s="171">
        <v>6.91</v>
      </c>
      <c r="AX45" s="171">
        <v>11</v>
      </c>
      <c r="AY45" s="74"/>
      <c r="AZ45" s="74"/>
      <c r="BA45" s="74"/>
      <c r="BB45" s="25"/>
      <c r="BC45" s="25"/>
      <c r="BD45" s="25"/>
      <c r="BE45" s="25"/>
      <c r="BF45" s="22"/>
      <c r="BG45" s="22"/>
      <c r="BH45" s="22"/>
      <c r="BI45" s="22"/>
      <c r="BJ45" s="22"/>
      <c r="BK45" s="22"/>
      <c r="BL45" s="25"/>
    </row>
    <row r="46" spans="2:64" x14ac:dyDescent="0.25">
      <c r="AU46" s="169" t="s">
        <v>87</v>
      </c>
      <c r="AV46" s="172">
        <v>817.03846153846155</v>
      </c>
      <c r="AW46" s="172">
        <v>637.97142857142853</v>
      </c>
      <c r="AX46" s="172">
        <v>596.1</v>
      </c>
      <c r="AY46" s="76"/>
      <c r="AZ46" s="76"/>
      <c r="BA46" s="76"/>
      <c r="BB46" s="78"/>
      <c r="BC46" s="78"/>
      <c r="BD46" s="25"/>
      <c r="BE46" s="25"/>
      <c r="BF46" s="22"/>
      <c r="BG46" s="22"/>
      <c r="BH46" s="22"/>
      <c r="BI46" s="22"/>
      <c r="BJ46" s="22"/>
      <c r="BK46" s="22"/>
      <c r="BL46" s="25"/>
    </row>
    <row r="47" spans="2:64" x14ac:dyDescent="0.25"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2:64" x14ac:dyDescent="0.25">
      <c r="AU48" s="79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24:64" x14ac:dyDescent="0.25">
      <c r="X49" s="16"/>
      <c r="AU49" s="74"/>
      <c r="AV49" s="77"/>
      <c r="AW49" s="54"/>
      <c r="AX49" s="54"/>
      <c r="AY49" s="54"/>
      <c r="AZ49" s="54"/>
      <c r="BA49" s="54"/>
      <c r="BB49" s="54"/>
      <c r="BC49" s="54"/>
      <c r="BD49" s="54"/>
      <c r="BE49" s="56"/>
      <c r="BF49" s="56"/>
      <c r="BG49" s="56"/>
      <c r="BH49" s="25"/>
      <c r="BI49" s="25"/>
      <c r="BJ49" s="25"/>
      <c r="BK49" s="25"/>
      <c r="BL49" s="25"/>
    </row>
    <row r="50" spans="24:64" x14ac:dyDescent="0.25">
      <c r="X50" s="16"/>
      <c r="AU50" s="74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25"/>
      <c r="BI50" s="25"/>
      <c r="BJ50" s="25"/>
      <c r="BK50" s="25"/>
      <c r="BL50" s="25"/>
    </row>
    <row r="51" spans="24:64" x14ac:dyDescent="0.25">
      <c r="X51" s="16"/>
    </row>
    <row r="52" spans="24:64" x14ac:dyDescent="0.25">
      <c r="X52" s="16"/>
    </row>
    <row r="53" spans="24:64" x14ac:dyDescent="0.25">
      <c r="X53" s="16"/>
    </row>
    <row r="54" spans="24:64" x14ac:dyDescent="0.25">
      <c r="X54" s="16"/>
    </row>
  </sheetData>
  <mergeCells count="4">
    <mergeCell ref="T2:X2"/>
    <mergeCell ref="K2:N2"/>
    <mergeCell ref="Y2:AA2"/>
    <mergeCell ref="E2:J2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5" width="9.140625" style="17" customWidth="1"/>
    <col min="6" max="10" width="9.140625" style="17"/>
    <col min="11" max="11" width="9.140625" style="17" customWidth="1"/>
    <col min="12" max="16384" width="9.140625" style="17"/>
  </cols>
  <sheetData>
    <row r="1" spans="2:35" x14ac:dyDescent="0.25">
      <c r="B1" s="58"/>
      <c r="K1" s="155"/>
      <c r="L1" s="155"/>
      <c r="M1" s="155"/>
      <c r="N1" s="155"/>
      <c r="O1" s="155"/>
      <c r="P1" s="155"/>
      <c r="Q1" s="155"/>
      <c r="R1" s="155"/>
      <c r="S1" s="155"/>
    </row>
    <row r="2" spans="2:35" ht="15.75" x14ac:dyDescent="0.25">
      <c r="B2" s="58"/>
      <c r="D2" s="18" t="s">
        <v>6</v>
      </c>
      <c r="E2" s="234" t="s">
        <v>7</v>
      </c>
      <c r="F2" s="232"/>
      <c r="G2" s="232"/>
      <c r="H2" s="232"/>
      <c r="I2" s="232"/>
      <c r="K2" s="155"/>
      <c r="L2" s="154" t="s">
        <v>138</v>
      </c>
      <c r="M2" s="155"/>
      <c r="N2" s="155"/>
      <c r="O2" s="155"/>
      <c r="P2" s="155"/>
      <c r="Q2" s="155"/>
      <c r="R2" s="155"/>
      <c r="S2" s="155"/>
      <c r="AC2" s="55"/>
      <c r="AD2" s="56"/>
      <c r="AE2" s="56"/>
      <c r="AF2" s="56"/>
      <c r="AG2" s="56"/>
    </row>
    <row r="3" spans="2:35" x14ac:dyDescent="0.25">
      <c r="B3" s="58"/>
      <c r="D3" s="17" t="s">
        <v>11</v>
      </c>
      <c r="E3" s="22" t="s">
        <v>90</v>
      </c>
      <c r="F3" s="16" t="s">
        <v>8</v>
      </c>
      <c r="G3" s="16" t="s">
        <v>9</v>
      </c>
      <c r="H3" s="16" t="s">
        <v>10</v>
      </c>
      <c r="I3" s="81" t="s">
        <v>140</v>
      </c>
      <c r="K3" s="155"/>
      <c r="L3" s="155"/>
      <c r="M3" s="155"/>
      <c r="N3" s="155"/>
      <c r="O3" s="155"/>
      <c r="P3" s="155"/>
      <c r="Q3" s="155"/>
      <c r="R3" s="155"/>
      <c r="S3" s="155"/>
      <c r="AC3" s="133"/>
      <c r="AD3" s="133"/>
      <c r="AE3" s="133"/>
      <c r="AF3" s="133"/>
      <c r="AG3" s="133"/>
    </row>
    <row r="4" spans="2:35" x14ac:dyDescent="0.25">
      <c r="B4" s="58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K5" s="155"/>
      <c r="L5" s="155"/>
      <c r="M5" s="155"/>
      <c r="N5" s="155"/>
      <c r="O5" s="155"/>
      <c r="P5" s="155"/>
      <c r="Q5" s="155"/>
      <c r="R5" s="155"/>
      <c r="S5" s="155"/>
      <c r="AC5" s="53"/>
      <c r="AD5" s="54"/>
      <c r="AE5" s="54"/>
      <c r="AF5" s="54"/>
      <c r="AG5" s="54"/>
    </row>
    <row r="6" spans="2:35" ht="15.75" thickBot="1" x14ac:dyDescent="0.3">
      <c r="B6" s="58"/>
      <c r="C6" s="19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9"/>
      <c r="K6" s="155"/>
      <c r="L6" s="155"/>
      <c r="M6" s="155"/>
      <c r="N6" s="155"/>
      <c r="O6" s="155"/>
      <c r="P6" s="155"/>
      <c r="Q6" s="155"/>
      <c r="R6" s="155"/>
      <c r="S6" s="155"/>
      <c r="AC6" s="50"/>
      <c r="AD6" s="50"/>
      <c r="AE6" s="50"/>
      <c r="AF6" s="50"/>
      <c r="AG6" s="50"/>
    </row>
    <row r="7" spans="2:35" x14ac:dyDescent="0.25">
      <c r="B7" s="58"/>
      <c r="C7" s="20" t="s">
        <v>14</v>
      </c>
      <c r="D7" s="59" t="s">
        <v>15</v>
      </c>
      <c r="E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17" t="s">
        <v>18</v>
      </c>
      <c r="D8" s="23" t="s">
        <v>89</v>
      </c>
      <c r="E8" s="16"/>
      <c r="F8" s="24"/>
      <c r="J8" s="16" t="s">
        <v>33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D9" s="23" t="s">
        <v>9</v>
      </c>
      <c r="G9" s="24"/>
      <c r="J9" s="16" t="s">
        <v>33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D10" s="23" t="s">
        <v>10</v>
      </c>
      <c r="H10" s="24"/>
      <c r="J10" s="16" t="s">
        <v>33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C11" s="140"/>
      <c r="D11" s="143" t="s">
        <v>140</v>
      </c>
      <c r="E11" s="140"/>
      <c r="F11" s="140"/>
      <c r="G11" s="140"/>
      <c r="H11" s="140"/>
      <c r="I11" s="144"/>
      <c r="J11" s="16" t="s">
        <v>33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C12" s="17" t="s">
        <v>21</v>
      </c>
      <c r="D12" s="190" t="s">
        <v>88</v>
      </c>
      <c r="E12" s="24"/>
      <c r="J12" s="16" t="s">
        <v>33</v>
      </c>
      <c r="K12" s="155"/>
      <c r="L12" s="155"/>
      <c r="M12" s="155"/>
      <c r="N12" s="155"/>
      <c r="O12" s="155"/>
      <c r="P12" s="155"/>
      <c r="Q12" s="155"/>
      <c r="R12" s="155"/>
      <c r="S12" s="155"/>
      <c r="AB12" s="49" t="s">
        <v>85</v>
      </c>
    </row>
    <row r="13" spans="2:35" x14ac:dyDescent="0.25">
      <c r="B13" s="58"/>
      <c r="D13" s="81" t="s">
        <v>8</v>
      </c>
      <c r="F13" s="24"/>
      <c r="J13" s="16" t="s">
        <v>33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15</v>
      </c>
      <c r="AC13" s="55">
        <v>0.01</v>
      </c>
      <c r="AD13" s="56">
        <v>1</v>
      </c>
      <c r="AE13" s="56">
        <v>5</v>
      </c>
      <c r="AF13" s="56">
        <v>15</v>
      </c>
      <c r="AG13" s="56">
        <v>25</v>
      </c>
      <c r="AH13" s="56">
        <v>40</v>
      </c>
      <c r="AI13" s="56"/>
    </row>
    <row r="14" spans="2:35" x14ac:dyDescent="0.25">
      <c r="B14" s="58"/>
      <c r="D14" s="81" t="s">
        <v>9</v>
      </c>
      <c r="G14" s="24"/>
      <c r="J14" s="16" t="s">
        <v>33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12</v>
      </c>
      <c r="AC14" s="133">
        <v>131</v>
      </c>
      <c r="AD14" s="133">
        <v>131</v>
      </c>
      <c r="AE14" s="133">
        <v>73</v>
      </c>
      <c r="AF14" s="133">
        <v>49</v>
      </c>
      <c r="AG14" s="133">
        <v>40</v>
      </c>
      <c r="AH14" s="133">
        <v>29</v>
      </c>
      <c r="AI14" s="50"/>
    </row>
    <row r="15" spans="2:35" x14ac:dyDescent="0.25">
      <c r="D15" s="81" t="s">
        <v>10</v>
      </c>
      <c r="H15" s="24"/>
      <c r="J15" s="16" t="s">
        <v>33</v>
      </c>
      <c r="K15" s="155"/>
      <c r="L15" s="155"/>
      <c r="M15" s="155"/>
      <c r="N15" s="155"/>
      <c r="O15" s="155"/>
      <c r="P15" s="155"/>
      <c r="Q15" s="155"/>
      <c r="R15" s="155"/>
      <c r="S15" s="155"/>
    </row>
    <row r="16" spans="2:35" x14ac:dyDescent="0.25">
      <c r="C16" s="140"/>
      <c r="D16" s="143" t="s">
        <v>140</v>
      </c>
      <c r="E16" s="140"/>
      <c r="F16" s="140"/>
      <c r="G16" s="140"/>
      <c r="H16" s="140"/>
      <c r="I16" s="144"/>
      <c r="J16" s="16" t="s">
        <v>33</v>
      </c>
      <c r="K16" s="155"/>
      <c r="L16" s="155"/>
      <c r="M16" s="155"/>
      <c r="N16" s="155"/>
      <c r="O16" s="155"/>
      <c r="P16" s="155"/>
      <c r="Q16" s="155"/>
      <c r="R16" s="155"/>
      <c r="S16" s="155"/>
      <c r="AB16" s="49" t="s">
        <v>15</v>
      </c>
      <c r="AC16" s="53">
        <v>0.01</v>
      </c>
      <c r="AD16" s="54">
        <v>1</v>
      </c>
      <c r="AE16" s="54">
        <v>5</v>
      </c>
      <c r="AF16" s="54">
        <v>15</v>
      </c>
      <c r="AG16" s="54">
        <v>25</v>
      </c>
      <c r="AH16" s="54">
        <v>40</v>
      </c>
      <c r="AI16" s="54"/>
    </row>
    <row r="17" spans="2:38" x14ac:dyDescent="0.25">
      <c r="B17" s="58"/>
      <c r="C17" s="17" t="s">
        <v>34</v>
      </c>
      <c r="D17" s="190" t="s">
        <v>88</v>
      </c>
      <c r="E17" s="24"/>
      <c r="J17" s="16" t="s">
        <v>33</v>
      </c>
      <c r="K17" s="155"/>
      <c r="L17" s="155"/>
      <c r="M17" s="155"/>
      <c r="N17" s="155"/>
      <c r="O17" s="155"/>
      <c r="P17" s="155"/>
      <c r="Q17" s="155"/>
      <c r="R17" s="155"/>
      <c r="S17" s="155"/>
      <c r="AB17" s="49" t="s">
        <v>12</v>
      </c>
      <c r="AC17" s="50">
        <v>1.03</v>
      </c>
      <c r="AD17" s="50">
        <v>1.03</v>
      </c>
      <c r="AE17" s="50">
        <v>0.56999999999999995</v>
      </c>
      <c r="AF17" s="50">
        <v>0.38</v>
      </c>
      <c r="AG17" s="50">
        <v>0.32</v>
      </c>
      <c r="AH17" s="50">
        <v>0.23</v>
      </c>
      <c r="AI17" s="50"/>
    </row>
    <row r="18" spans="2:38" x14ac:dyDescent="0.25">
      <c r="B18" s="58"/>
      <c r="D18" s="81" t="s">
        <v>8</v>
      </c>
      <c r="F18" s="24"/>
      <c r="J18" s="16" t="s">
        <v>33</v>
      </c>
      <c r="K18" s="155"/>
      <c r="L18" s="155"/>
      <c r="M18" s="155"/>
      <c r="N18" s="155"/>
      <c r="O18" s="155"/>
      <c r="P18" s="155"/>
      <c r="Q18" s="155"/>
      <c r="R18" s="155"/>
      <c r="S18" s="155"/>
    </row>
    <row r="19" spans="2:38" x14ac:dyDescent="0.25">
      <c r="B19" s="58"/>
      <c r="D19" s="81" t="s">
        <v>9</v>
      </c>
      <c r="G19" s="24"/>
      <c r="J19" s="16" t="s">
        <v>33</v>
      </c>
      <c r="K19" s="155"/>
      <c r="L19" s="155"/>
      <c r="M19" s="155"/>
      <c r="N19" s="155"/>
      <c r="O19" s="155"/>
      <c r="P19" s="155"/>
      <c r="Q19" s="155"/>
      <c r="R19" s="155"/>
      <c r="S19" s="155"/>
    </row>
    <row r="20" spans="2:38" x14ac:dyDescent="0.25">
      <c r="B20" s="58"/>
      <c r="D20" s="81" t="s">
        <v>10</v>
      </c>
      <c r="H20" s="24"/>
      <c r="J20" s="16" t="s">
        <v>33</v>
      </c>
      <c r="K20" s="155"/>
      <c r="L20" s="155"/>
      <c r="M20" s="155"/>
      <c r="N20" s="155"/>
      <c r="O20" s="155"/>
      <c r="P20" s="155"/>
      <c r="Q20" s="155"/>
      <c r="R20" s="155"/>
      <c r="S20" s="155"/>
      <c r="AB20" s="49" t="s">
        <v>76</v>
      </c>
      <c r="AC20" s="50"/>
      <c r="AD20" s="50"/>
      <c r="AE20" s="50"/>
      <c r="AF20" s="49"/>
      <c r="AG20" s="49"/>
      <c r="AH20" s="49"/>
      <c r="AI20" s="51"/>
      <c r="AJ20" s="51"/>
      <c r="AK20" s="49"/>
      <c r="AL20" s="49"/>
    </row>
    <row r="21" spans="2:38" ht="15.75" x14ac:dyDescent="0.25">
      <c r="B21" s="58"/>
      <c r="C21" s="140"/>
      <c r="D21" s="143" t="s">
        <v>140</v>
      </c>
      <c r="E21" s="140"/>
      <c r="F21" s="140"/>
      <c r="G21" s="140"/>
      <c r="H21" s="140"/>
      <c r="I21" s="144"/>
      <c r="J21" s="16" t="s">
        <v>33</v>
      </c>
      <c r="K21" s="155"/>
      <c r="L21" s="154" t="s">
        <v>139</v>
      </c>
      <c r="N21" s="155"/>
      <c r="O21" s="155"/>
      <c r="P21" s="155"/>
      <c r="Q21" s="155"/>
      <c r="R21" s="155"/>
      <c r="AB21" s="49" t="s">
        <v>15</v>
      </c>
      <c r="AC21" s="49">
        <v>5.3</v>
      </c>
      <c r="AD21" s="49">
        <v>20</v>
      </c>
      <c r="AE21" s="49">
        <v>70</v>
      </c>
      <c r="AF21" s="49"/>
      <c r="AG21" s="49"/>
      <c r="AH21" s="49"/>
      <c r="AI21" s="49"/>
      <c r="AJ21" s="49"/>
      <c r="AK21" s="49"/>
      <c r="AL21" s="49"/>
    </row>
    <row r="22" spans="2:38" x14ac:dyDescent="0.25">
      <c r="B22" s="58"/>
      <c r="C22" s="17" t="s">
        <v>22</v>
      </c>
      <c r="D22" s="158" t="s">
        <v>88</v>
      </c>
      <c r="E22" s="21"/>
      <c r="J22" s="16" t="s">
        <v>13</v>
      </c>
      <c r="L22" s="155"/>
      <c r="M22" s="155"/>
      <c r="N22" s="155"/>
      <c r="O22" s="155"/>
      <c r="P22" s="155"/>
      <c r="Q22" s="155"/>
      <c r="R22" s="155"/>
      <c r="AB22" s="49" t="s">
        <v>12</v>
      </c>
      <c r="AC22" s="50">
        <v>0.56429999999999991</v>
      </c>
      <c r="AD22" s="50">
        <v>0.35</v>
      </c>
      <c r="AE22" s="50">
        <v>0.23</v>
      </c>
      <c r="AF22" s="50"/>
      <c r="AG22" s="50"/>
      <c r="AH22" s="50"/>
      <c r="AI22" s="50"/>
      <c r="AJ22" s="50"/>
      <c r="AK22" s="50"/>
      <c r="AL22" s="50"/>
    </row>
    <row r="23" spans="2:38" x14ac:dyDescent="0.25">
      <c r="B23" s="58"/>
      <c r="D23" s="81" t="s">
        <v>8</v>
      </c>
      <c r="F23" s="21"/>
      <c r="J23" s="16" t="s">
        <v>13</v>
      </c>
      <c r="L23" s="155"/>
      <c r="M23" s="155"/>
      <c r="N23" s="155"/>
      <c r="O23" s="155"/>
      <c r="P23" s="155"/>
      <c r="Q23" s="155"/>
      <c r="R23" s="155"/>
      <c r="S23" s="155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2:38" x14ac:dyDescent="0.25">
      <c r="B24" s="58"/>
      <c r="D24" s="81" t="s">
        <v>9</v>
      </c>
      <c r="G24" s="21"/>
      <c r="J24" s="16" t="s">
        <v>13</v>
      </c>
      <c r="K24" s="155"/>
      <c r="L24" s="155"/>
      <c r="M24" s="155"/>
      <c r="N24" s="155"/>
      <c r="O24" s="155"/>
      <c r="P24" s="155"/>
      <c r="Q24" s="155"/>
      <c r="R24" s="155"/>
      <c r="S24" s="155"/>
      <c r="AB24" s="49" t="s">
        <v>77</v>
      </c>
      <c r="AC24" s="49"/>
      <c r="AD24" s="50"/>
      <c r="AE24" s="50"/>
      <c r="AF24" s="50"/>
      <c r="AG24" s="50"/>
      <c r="AH24" s="49"/>
      <c r="AI24" s="49"/>
      <c r="AJ24" s="49"/>
      <c r="AK24" s="49"/>
      <c r="AL24" s="49"/>
    </row>
    <row r="25" spans="2:38" x14ac:dyDescent="0.25">
      <c r="B25" s="58"/>
      <c r="D25" s="81" t="s">
        <v>10</v>
      </c>
      <c r="H25" s="21"/>
      <c r="J25" s="16" t="s">
        <v>13</v>
      </c>
      <c r="K25" s="155"/>
      <c r="L25" s="155"/>
      <c r="M25" s="155"/>
      <c r="N25" s="155"/>
      <c r="O25" s="155"/>
      <c r="P25" s="155"/>
      <c r="Q25" s="155"/>
      <c r="R25" s="155"/>
      <c r="S25" s="155"/>
      <c r="AB25" s="49" t="s">
        <v>15</v>
      </c>
      <c r="AC25" s="49">
        <v>0.12</v>
      </c>
      <c r="AD25" s="49">
        <v>0.44</v>
      </c>
      <c r="AE25" s="49">
        <v>0.74</v>
      </c>
      <c r="AF25" s="49">
        <v>2.0299999999999998</v>
      </c>
      <c r="AG25" s="49"/>
      <c r="AI25" s="49"/>
      <c r="AJ25" s="49"/>
      <c r="AK25" s="49"/>
      <c r="AL25" s="49"/>
    </row>
    <row r="26" spans="2:38" x14ac:dyDescent="0.25">
      <c r="C26" s="140"/>
      <c r="D26" s="143" t="s">
        <v>140</v>
      </c>
      <c r="E26" s="140"/>
      <c r="F26" s="140"/>
      <c r="G26" s="140"/>
      <c r="H26" s="140"/>
      <c r="I26" s="141"/>
      <c r="J26" s="16" t="s">
        <v>13</v>
      </c>
      <c r="K26" s="155"/>
      <c r="L26" s="155"/>
      <c r="M26" s="155"/>
      <c r="N26" s="155"/>
      <c r="O26" s="155"/>
      <c r="P26" s="155"/>
      <c r="Q26" s="155"/>
      <c r="R26" s="155"/>
      <c r="S26" s="155"/>
      <c r="AB26" s="49" t="s">
        <v>12</v>
      </c>
      <c r="AC26" s="50">
        <v>1.03</v>
      </c>
      <c r="AD26" s="50">
        <v>1.03</v>
      </c>
      <c r="AE26" s="50">
        <v>1.03</v>
      </c>
      <c r="AF26" s="50">
        <v>0.91155000000000008</v>
      </c>
      <c r="AG26" s="50"/>
      <c r="AI26" s="51"/>
      <c r="AJ26" s="51"/>
      <c r="AK26" s="50"/>
      <c r="AL26" s="50"/>
    </row>
    <row r="27" spans="2:38" x14ac:dyDescent="0.25">
      <c r="D27" s="81"/>
      <c r="K27" s="155"/>
      <c r="L27" s="155"/>
      <c r="M27" s="155"/>
      <c r="N27" s="155"/>
      <c r="O27" s="155"/>
      <c r="P27" s="155"/>
      <c r="Q27" s="155"/>
      <c r="R27" s="155"/>
      <c r="S27" s="155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2:38" x14ac:dyDescent="0.25">
      <c r="K28" s="155"/>
      <c r="L28" s="155"/>
      <c r="M28" s="155"/>
      <c r="N28" s="155"/>
      <c r="O28" s="155"/>
      <c r="P28" s="155"/>
      <c r="Q28" s="155"/>
      <c r="R28" s="155"/>
      <c r="S28" s="155"/>
      <c r="AB28" s="49" t="s">
        <v>86</v>
      </c>
      <c r="AC28" s="49"/>
      <c r="AD28" s="52"/>
      <c r="AE28" s="52"/>
      <c r="AF28" s="52"/>
      <c r="AG28" s="52"/>
      <c r="AH28" s="52"/>
      <c r="AI28" s="49"/>
      <c r="AJ28" s="49"/>
      <c r="AK28" s="49"/>
      <c r="AL28" s="49"/>
    </row>
    <row r="29" spans="2:38" x14ac:dyDescent="0.25">
      <c r="K29" s="155"/>
      <c r="L29" s="155"/>
      <c r="M29" s="155"/>
      <c r="N29" s="155"/>
      <c r="O29" s="155"/>
      <c r="P29" s="155"/>
      <c r="Q29" s="155"/>
      <c r="R29" s="155"/>
      <c r="S29" s="155"/>
      <c r="AB29" s="49" t="s">
        <v>15</v>
      </c>
      <c r="AC29" s="53">
        <v>0.24</v>
      </c>
      <c r="AD29" s="54">
        <v>0.44</v>
      </c>
      <c r="AE29" s="54">
        <v>0.68</v>
      </c>
      <c r="AF29" s="54"/>
      <c r="AG29" s="54"/>
      <c r="AH29" s="54"/>
      <c r="AI29" s="54"/>
      <c r="AJ29" s="54"/>
      <c r="AK29" s="49"/>
      <c r="AL29" s="49"/>
    </row>
    <row r="30" spans="2:38" x14ac:dyDescent="0.25">
      <c r="K30" s="155"/>
      <c r="L30" s="155"/>
      <c r="M30" s="155"/>
      <c r="N30" s="155"/>
      <c r="O30" s="155"/>
      <c r="P30" s="155"/>
      <c r="Q30" s="155"/>
      <c r="R30" s="155"/>
      <c r="S30" s="155"/>
      <c r="AB30" s="49" t="s">
        <v>12</v>
      </c>
      <c r="AC30" s="76">
        <v>1.03</v>
      </c>
      <c r="AD30" s="76">
        <v>1.03</v>
      </c>
      <c r="AE30" s="76">
        <v>1.03</v>
      </c>
      <c r="AF30" s="76"/>
      <c r="AG30" s="76"/>
      <c r="AH30" s="76"/>
      <c r="AI30" s="50"/>
      <c r="AJ30" s="50"/>
      <c r="AK30" s="49"/>
      <c r="AL30" s="49"/>
    </row>
    <row r="31" spans="2:38" x14ac:dyDescent="0.25">
      <c r="K31" s="155"/>
      <c r="L31" s="155"/>
      <c r="M31" s="155"/>
      <c r="N31" s="155"/>
      <c r="O31" s="155"/>
      <c r="P31" s="155"/>
      <c r="Q31" s="155"/>
      <c r="R31" s="155"/>
      <c r="S31" s="155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2:38" x14ac:dyDescent="0.25">
      <c r="B32" s="26" t="str">
        <f>IF(obliczenia!$A$21=3,IF(obliczenia!$D$21=1,"TAK",""),"")</f>
        <v/>
      </c>
      <c r="C32" s="27" t="s">
        <v>18</v>
      </c>
      <c r="D32" s="28" t="str">
        <f>IF(B32="TAK",IF(interface!$G$26&lt;=5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,"")</f>
        <v/>
      </c>
      <c r="E32" s="27" t="str">
        <f>IF(B32="TAK","mln PLN/MWt","")</f>
        <v/>
      </c>
      <c r="K32" s="155"/>
      <c r="L32" s="155"/>
      <c r="M32" s="155"/>
      <c r="N32" s="155"/>
      <c r="O32" s="155"/>
      <c r="P32" s="155"/>
      <c r="Q32" s="155"/>
      <c r="R32" s="155"/>
      <c r="S32" s="155"/>
      <c r="AB32" s="49"/>
      <c r="AC32" s="49"/>
      <c r="AD32" s="52"/>
      <c r="AE32" s="52"/>
      <c r="AF32" s="52"/>
      <c r="AG32" s="52"/>
      <c r="AH32" s="52"/>
      <c r="AI32" s="49"/>
      <c r="AJ32" s="49"/>
      <c r="AK32" s="49"/>
      <c r="AL32" s="49"/>
    </row>
    <row r="33" spans="2:38" x14ac:dyDescent="0.25">
      <c r="B33" s="26" t="str">
        <f>IF(obliczenia!$A$21=3,IF(obliczenia!$D$21=2,"TAK",""),"")</f>
        <v/>
      </c>
      <c r="C33" s="27" t="s">
        <v>21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K33" s="155"/>
      <c r="L33" s="155"/>
      <c r="M33" s="155"/>
      <c r="N33" s="155"/>
      <c r="O33" s="155"/>
      <c r="P33" s="155"/>
      <c r="Q33" s="155"/>
      <c r="R33" s="155"/>
      <c r="S33" s="155"/>
      <c r="AB33" s="49"/>
      <c r="AC33" s="55"/>
      <c r="AD33" s="56"/>
      <c r="AE33" s="56"/>
      <c r="AF33" s="56"/>
      <c r="AG33" s="56"/>
      <c r="AH33" s="56"/>
      <c r="AI33" s="56"/>
      <c r="AJ33" s="49"/>
      <c r="AK33" s="49"/>
      <c r="AL33" s="49"/>
    </row>
    <row r="34" spans="2:38" x14ac:dyDescent="0.25">
      <c r="B34" s="26" t="str">
        <f>IF(obliczenia!$A$21=3,IF(obliczenia!$D$21=3,"TAK",""),"")</f>
        <v/>
      </c>
      <c r="C34" s="27" t="s">
        <v>34</v>
      </c>
      <c r="D34" s="28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K34" s="155"/>
      <c r="L34" s="155"/>
      <c r="M34" s="155"/>
      <c r="N34" s="155"/>
      <c r="O34" s="155"/>
      <c r="P34" s="155"/>
      <c r="Q34" s="155"/>
      <c r="R34" s="155"/>
      <c r="S34" s="155"/>
      <c r="AB34" s="49"/>
      <c r="AC34" s="50"/>
      <c r="AD34" s="50"/>
      <c r="AE34" s="50"/>
      <c r="AF34" s="50"/>
      <c r="AG34" s="50"/>
      <c r="AH34" s="50"/>
      <c r="AI34" s="50"/>
      <c r="AJ34" s="49"/>
      <c r="AK34" s="49"/>
      <c r="AL34" s="49"/>
    </row>
    <row r="35" spans="2:38" x14ac:dyDescent="0.25">
      <c r="B35" s="26" t="str">
        <f>IF(obliczenia!$A$21=3,IF(obliczenia!$D$21=4,"TAK",""),"")</f>
        <v/>
      </c>
      <c r="C35" s="27" t="s">
        <v>22</v>
      </c>
      <c r="D35" s="28" t="str">
        <f>IF(B35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5" s="27" t="str">
        <f>IF(B35="TAK","PLN/GJ","")</f>
        <v/>
      </c>
      <c r="K35" s="155"/>
      <c r="L35" s="155"/>
      <c r="M35" s="155"/>
      <c r="N35" s="155"/>
      <c r="O35" s="155"/>
      <c r="P35" s="155"/>
      <c r="Q35" s="155"/>
      <c r="R35" s="155"/>
      <c r="S35" s="155"/>
    </row>
    <row r="36" spans="2:38" x14ac:dyDescent="0.25">
      <c r="B36" s="26"/>
      <c r="C36" s="27"/>
      <c r="D36" s="28"/>
      <c r="E36" s="27"/>
      <c r="F36" s="16"/>
      <c r="G36" s="16"/>
      <c r="H36" s="16"/>
      <c r="I36" s="16"/>
      <c r="K36" s="155"/>
      <c r="L36" s="155"/>
      <c r="M36" s="155"/>
      <c r="N36" s="155"/>
      <c r="O36" s="155"/>
      <c r="P36" s="155"/>
      <c r="Q36" s="155"/>
      <c r="R36" s="155"/>
      <c r="S36" s="155"/>
    </row>
    <row r="37" spans="2:38" x14ac:dyDescent="0.25">
      <c r="B37" s="26"/>
      <c r="C37" s="27"/>
      <c r="D37" s="27"/>
      <c r="E37" s="27"/>
      <c r="F37" s="16"/>
      <c r="G37" s="16"/>
      <c r="H37" s="16"/>
      <c r="I37" s="16"/>
      <c r="K37" s="155"/>
      <c r="L37" s="155"/>
      <c r="M37" s="155"/>
      <c r="N37" s="155"/>
      <c r="O37" s="155"/>
      <c r="P37" s="155"/>
      <c r="Q37" s="155"/>
      <c r="R37" s="155"/>
    </row>
    <row r="38" spans="2:38" x14ac:dyDescent="0.25">
      <c r="B38" s="26"/>
      <c r="C38" s="27"/>
      <c r="D38" s="27"/>
      <c r="E38" s="27"/>
      <c r="F38" s="16"/>
      <c r="G38" s="16"/>
      <c r="H38" s="16"/>
      <c r="I38" s="16"/>
      <c r="K38" s="155"/>
      <c r="L38" s="155"/>
      <c r="M38" s="155"/>
      <c r="N38" s="155"/>
      <c r="O38" s="155"/>
      <c r="P38" s="155"/>
      <c r="Q38" s="155"/>
      <c r="R38" s="155"/>
    </row>
    <row r="39" spans="2:38" x14ac:dyDescent="0.25">
      <c r="B39" s="26"/>
      <c r="C39" s="27"/>
      <c r="D39" s="29"/>
      <c r="E39" s="29"/>
      <c r="F39" s="16"/>
      <c r="G39" s="16"/>
      <c r="H39" s="16"/>
      <c r="I39" s="16"/>
      <c r="K39" s="155"/>
      <c r="L39" s="155"/>
      <c r="M39" s="155"/>
      <c r="N39" s="155"/>
      <c r="O39" s="155"/>
      <c r="P39" s="155"/>
      <c r="Q39" s="155"/>
      <c r="R39" s="155"/>
      <c r="S39" s="155"/>
    </row>
    <row r="40" spans="2:38" x14ac:dyDescent="0.25">
      <c r="D40" s="30" t="str">
        <f>IF(obliczenia!A21=3,VLOOKUP("TAK",B32:E39,3,0),"")</f>
        <v/>
      </c>
      <c r="E40" s="27" t="str">
        <f>IF(obliczenia!A21=3,VLOOKUP("TAK",B32:E39,4,0),"")</f>
        <v/>
      </c>
    </row>
  </sheetData>
  <mergeCells count="1">
    <mergeCell ref="E2:I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6.140625" style="17" customWidth="1"/>
    <col min="4" max="4" width="14.28515625" style="17" customWidth="1"/>
    <col min="5" max="5" width="9.140625" style="17" customWidth="1"/>
    <col min="6" max="16384" width="9.140625" style="17"/>
  </cols>
  <sheetData>
    <row r="1" spans="2:35" x14ac:dyDescent="0.25">
      <c r="B1" s="58"/>
      <c r="K1" s="155"/>
      <c r="L1" s="155"/>
      <c r="M1" s="155"/>
      <c r="N1" s="155"/>
      <c r="O1" s="155"/>
      <c r="P1" s="155"/>
      <c r="Q1" s="155"/>
      <c r="R1" s="155"/>
      <c r="S1" s="155"/>
    </row>
    <row r="2" spans="2:35" ht="15.75" x14ac:dyDescent="0.25">
      <c r="B2" s="58"/>
      <c r="D2" s="18" t="s">
        <v>6</v>
      </c>
      <c r="E2" s="234" t="s">
        <v>7</v>
      </c>
      <c r="F2" s="232"/>
      <c r="G2" s="232"/>
      <c r="H2" s="232"/>
      <c r="I2" s="232"/>
      <c r="K2" s="155"/>
      <c r="L2" s="154" t="s">
        <v>138</v>
      </c>
      <c r="M2" s="155"/>
      <c r="N2" s="155"/>
      <c r="O2" s="155"/>
      <c r="P2" s="155"/>
      <c r="Q2" s="155"/>
      <c r="R2" s="155"/>
      <c r="S2" s="155"/>
    </row>
    <row r="3" spans="2:35" x14ac:dyDescent="0.25">
      <c r="B3" s="58"/>
      <c r="D3" s="17" t="s">
        <v>11</v>
      </c>
      <c r="E3" s="22" t="s">
        <v>90</v>
      </c>
      <c r="F3" s="16" t="s">
        <v>8</v>
      </c>
      <c r="G3" s="16" t="s">
        <v>9</v>
      </c>
      <c r="H3" s="16" t="s">
        <v>10</v>
      </c>
      <c r="I3" s="81" t="s">
        <v>140</v>
      </c>
      <c r="K3" s="155"/>
      <c r="L3" s="155"/>
      <c r="M3" s="155"/>
      <c r="N3" s="155"/>
      <c r="O3" s="155"/>
      <c r="P3" s="155"/>
      <c r="Q3" s="155"/>
      <c r="R3" s="155"/>
      <c r="S3" s="155"/>
    </row>
    <row r="4" spans="2:35" x14ac:dyDescent="0.25">
      <c r="B4" s="58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K5" s="155"/>
      <c r="L5" s="155"/>
      <c r="M5" s="155"/>
      <c r="N5" s="155"/>
      <c r="O5" s="155"/>
      <c r="P5" s="155"/>
      <c r="Q5" s="155"/>
      <c r="R5" s="155"/>
      <c r="S5" s="155"/>
    </row>
    <row r="6" spans="2:35" ht="15.75" thickBot="1" x14ac:dyDescent="0.3">
      <c r="B6" s="58"/>
      <c r="C6" s="19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9"/>
      <c r="K6" s="155"/>
      <c r="L6" s="155"/>
      <c r="M6" s="155"/>
      <c r="N6" s="155"/>
      <c r="O6" s="155"/>
      <c r="P6" s="155"/>
      <c r="Q6" s="155"/>
      <c r="R6" s="155"/>
      <c r="S6" s="155"/>
    </row>
    <row r="7" spans="2:35" x14ac:dyDescent="0.25">
      <c r="B7" s="58"/>
      <c r="C7" s="20" t="s">
        <v>14</v>
      </c>
      <c r="D7" s="59" t="s">
        <v>15</v>
      </c>
      <c r="E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81" t="s">
        <v>18</v>
      </c>
      <c r="D8" s="23" t="s">
        <v>89</v>
      </c>
      <c r="E8" s="16"/>
      <c r="F8" s="24"/>
      <c r="J8" s="16" t="s">
        <v>33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D9" s="89" t="s">
        <v>9</v>
      </c>
      <c r="G9" s="24"/>
      <c r="J9" s="16" t="s">
        <v>33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D10" s="89" t="s">
        <v>10</v>
      </c>
      <c r="H10" s="24"/>
      <c r="J10" s="16" t="s">
        <v>33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C11" s="140"/>
      <c r="D11" s="143" t="s">
        <v>140</v>
      </c>
      <c r="E11" s="140"/>
      <c r="F11" s="140"/>
      <c r="G11" s="140"/>
      <c r="H11" s="140"/>
      <c r="I11" s="144"/>
      <c r="J11" s="16" t="s">
        <v>33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C12" s="17" t="s">
        <v>21</v>
      </c>
      <c r="D12" s="158" t="s">
        <v>88</v>
      </c>
      <c r="E12" s="24"/>
      <c r="J12" s="16" t="s">
        <v>33</v>
      </c>
      <c r="K12" s="155"/>
      <c r="L12" s="155"/>
      <c r="M12" s="155"/>
      <c r="N12" s="155"/>
      <c r="O12" s="155"/>
      <c r="P12" s="155"/>
      <c r="Q12" s="155"/>
      <c r="R12" s="155"/>
      <c r="S12" s="155"/>
      <c r="AB12" s="49" t="s">
        <v>85</v>
      </c>
    </row>
    <row r="13" spans="2:35" x14ac:dyDescent="0.25">
      <c r="B13" s="58"/>
      <c r="D13" s="81" t="s">
        <v>8</v>
      </c>
      <c r="F13" s="24"/>
      <c r="J13" s="16" t="s">
        <v>33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15</v>
      </c>
      <c r="AC13" s="55">
        <v>0.01</v>
      </c>
      <c r="AD13" s="56">
        <v>1</v>
      </c>
      <c r="AE13" s="56">
        <v>5</v>
      </c>
      <c r="AF13" s="56">
        <v>15</v>
      </c>
      <c r="AG13" s="56">
        <v>25</v>
      </c>
      <c r="AH13" s="56">
        <v>40</v>
      </c>
      <c r="AI13" s="56"/>
    </row>
    <row r="14" spans="2:35" x14ac:dyDescent="0.25">
      <c r="D14" s="81" t="s">
        <v>9</v>
      </c>
      <c r="G14" s="24"/>
      <c r="J14" s="16" t="s">
        <v>33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12</v>
      </c>
      <c r="AC14" s="133">
        <v>131</v>
      </c>
      <c r="AD14" s="133">
        <v>131</v>
      </c>
      <c r="AE14" s="133">
        <v>73</v>
      </c>
      <c r="AF14" s="133">
        <v>49</v>
      </c>
      <c r="AG14" s="133">
        <v>40</v>
      </c>
      <c r="AH14" s="133">
        <v>29</v>
      </c>
      <c r="AI14" s="50"/>
    </row>
    <row r="15" spans="2:35" x14ac:dyDescent="0.25">
      <c r="D15" s="81" t="s">
        <v>10</v>
      </c>
      <c r="H15" s="24"/>
      <c r="J15" s="16" t="s">
        <v>33</v>
      </c>
      <c r="K15" s="155"/>
      <c r="L15" s="155"/>
      <c r="M15" s="155"/>
      <c r="N15" s="155"/>
      <c r="O15" s="155"/>
      <c r="P15" s="155"/>
      <c r="Q15" s="155"/>
      <c r="R15" s="155"/>
      <c r="S15" s="155"/>
    </row>
    <row r="16" spans="2:35" x14ac:dyDescent="0.25">
      <c r="C16" s="140"/>
      <c r="D16" s="143" t="s">
        <v>140</v>
      </c>
      <c r="E16" s="140"/>
      <c r="F16" s="140"/>
      <c r="G16" s="140"/>
      <c r="H16" s="140"/>
      <c r="I16" s="144"/>
      <c r="J16" s="16" t="s">
        <v>33</v>
      </c>
      <c r="K16" s="155"/>
      <c r="L16" s="155"/>
      <c r="M16" s="155"/>
      <c r="N16" s="155"/>
      <c r="O16" s="155"/>
      <c r="P16" s="155"/>
      <c r="Q16" s="155"/>
      <c r="R16" s="155"/>
      <c r="S16" s="155"/>
      <c r="AB16" s="49" t="s">
        <v>15</v>
      </c>
      <c r="AC16" s="53">
        <v>0.01</v>
      </c>
      <c r="AD16" s="54">
        <v>1</v>
      </c>
      <c r="AE16" s="54">
        <v>5</v>
      </c>
      <c r="AF16" s="54">
        <v>15</v>
      </c>
      <c r="AG16" s="54">
        <v>25</v>
      </c>
      <c r="AH16" s="54">
        <v>40</v>
      </c>
      <c r="AI16" s="54"/>
    </row>
    <row r="17" spans="2:38" x14ac:dyDescent="0.25">
      <c r="B17" s="58"/>
      <c r="C17" s="17" t="s">
        <v>34</v>
      </c>
      <c r="D17" s="158" t="s">
        <v>88</v>
      </c>
      <c r="E17" s="24"/>
      <c r="J17" s="16" t="s">
        <v>33</v>
      </c>
      <c r="K17" s="155"/>
      <c r="L17" s="155"/>
      <c r="M17" s="155"/>
      <c r="N17" s="155"/>
      <c r="O17" s="155"/>
      <c r="P17" s="155"/>
      <c r="Q17" s="155"/>
      <c r="R17" s="155"/>
      <c r="S17" s="155"/>
      <c r="AB17" s="49" t="s">
        <v>12</v>
      </c>
      <c r="AC17" s="50">
        <v>1.03</v>
      </c>
      <c r="AD17" s="50">
        <v>1.03</v>
      </c>
      <c r="AE17" s="50">
        <v>0.56999999999999995</v>
      </c>
      <c r="AF17" s="50">
        <v>0.38</v>
      </c>
      <c r="AG17" s="50">
        <v>0.32</v>
      </c>
      <c r="AH17" s="50">
        <v>0.23</v>
      </c>
      <c r="AI17" s="50"/>
    </row>
    <row r="18" spans="2:38" x14ac:dyDescent="0.25">
      <c r="B18" s="58"/>
      <c r="D18" s="81" t="s">
        <v>8</v>
      </c>
      <c r="F18" s="24"/>
      <c r="J18" s="16" t="s">
        <v>33</v>
      </c>
      <c r="K18" s="155"/>
      <c r="L18" s="155"/>
      <c r="M18" s="155"/>
      <c r="N18" s="155"/>
      <c r="O18" s="155"/>
      <c r="P18" s="155"/>
      <c r="Q18" s="155"/>
      <c r="R18" s="155"/>
      <c r="S18" s="155"/>
    </row>
    <row r="19" spans="2:38" x14ac:dyDescent="0.25">
      <c r="B19" s="58"/>
      <c r="D19" s="81" t="s">
        <v>9</v>
      </c>
      <c r="G19" s="24"/>
      <c r="J19" s="16" t="s">
        <v>33</v>
      </c>
      <c r="L19" s="155"/>
      <c r="M19" s="155"/>
      <c r="N19" s="155"/>
      <c r="O19" s="155"/>
      <c r="P19" s="155"/>
      <c r="Q19" s="155"/>
      <c r="R19" s="155"/>
      <c r="S19" s="155"/>
    </row>
    <row r="20" spans="2:38" x14ac:dyDescent="0.25">
      <c r="D20" s="81" t="s">
        <v>10</v>
      </c>
      <c r="H20" s="24"/>
      <c r="J20" s="16" t="s">
        <v>33</v>
      </c>
      <c r="L20" s="155"/>
      <c r="M20" s="155"/>
      <c r="N20" s="155"/>
      <c r="O20" s="155"/>
      <c r="P20" s="155"/>
      <c r="Q20" s="155"/>
      <c r="R20" s="155"/>
      <c r="S20" s="155"/>
      <c r="AB20" s="49" t="s">
        <v>76</v>
      </c>
      <c r="AC20" s="50"/>
      <c r="AD20" s="50"/>
      <c r="AE20" s="50"/>
      <c r="AF20" s="49"/>
      <c r="AG20" s="49"/>
      <c r="AH20" s="49"/>
      <c r="AI20" s="49"/>
      <c r="AJ20" s="49"/>
      <c r="AK20" s="49"/>
    </row>
    <row r="21" spans="2:38" ht="15.75" x14ac:dyDescent="0.25">
      <c r="C21" s="140"/>
      <c r="D21" s="143" t="s">
        <v>140</v>
      </c>
      <c r="E21" s="140"/>
      <c r="F21" s="140"/>
      <c r="G21" s="140"/>
      <c r="H21" s="140"/>
      <c r="I21" s="144"/>
      <c r="J21" s="16" t="s">
        <v>33</v>
      </c>
      <c r="L21" s="154" t="s">
        <v>139</v>
      </c>
      <c r="M21" s="155"/>
      <c r="N21" s="155"/>
      <c r="O21" s="155"/>
      <c r="P21" s="155"/>
      <c r="Q21" s="155"/>
      <c r="R21" s="155"/>
      <c r="AB21" s="49" t="s">
        <v>15</v>
      </c>
      <c r="AC21" s="74">
        <v>5.3</v>
      </c>
      <c r="AD21" s="74">
        <v>20</v>
      </c>
      <c r="AE21" s="74">
        <v>70</v>
      </c>
      <c r="AF21" s="74"/>
      <c r="AG21" s="74"/>
      <c r="AH21" s="74"/>
      <c r="AI21" s="74"/>
      <c r="AJ21" s="74"/>
      <c r="AK21" s="74"/>
      <c r="AL21" s="74"/>
    </row>
    <row r="22" spans="2:38" x14ac:dyDescent="0.25">
      <c r="B22" s="58"/>
      <c r="C22" s="235" t="s">
        <v>154</v>
      </c>
      <c r="D22" s="158" t="s">
        <v>88</v>
      </c>
      <c r="E22" s="21"/>
      <c r="J22" s="16" t="s">
        <v>33</v>
      </c>
      <c r="L22" s="155"/>
      <c r="M22" s="155"/>
      <c r="N22" s="155"/>
      <c r="O22" s="155"/>
      <c r="P22" s="155"/>
      <c r="Q22" s="155"/>
      <c r="R22" s="155"/>
      <c r="AB22" s="49" t="s">
        <v>12</v>
      </c>
      <c r="AC22" s="76">
        <v>0.56429999999999991</v>
      </c>
      <c r="AD22" s="76">
        <v>0.35</v>
      </c>
      <c r="AE22" s="76">
        <v>0.23</v>
      </c>
      <c r="AF22" s="76"/>
      <c r="AG22" s="76"/>
      <c r="AH22" s="76"/>
      <c r="AI22" s="76"/>
      <c r="AJ22" s="76"/>
      <c r="AK22" s="76"/>
      <c r="AL22" s="76"/>
    </row>
    <row r="23" spans="2:38" x14ac:dyDescent="0.25">
      <c r="B23" s="58"/>
      <c r="C23" s="236"/>
      <c r="D23" s="158" t="s">
        <v>8</v>
      </c>
      <c r="F23" s="21"/>
      <c r="J23" s="16" t="s">
        <v>33</v>
      </c>
      <c r="L23" s="155"/>
      <c r="M23" s="155"/>
      <c r="N23" s="155"/>
      <c r="O23" s="155"/>
      <c r="P23" s="155"/>
      <c r="Q23" s="155"/>
      <c r="R23" s="155"/>
      <c r="S23" s="155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2:38" x14ac:dyDescent="0.25">
      <c r="B24" s="58"/>
      <c r="C24" s="25"/>
      <c r="D24" s="158" t="s">
        <v>9</v>
      </c>
      <c r="G24" s="21"/>
      <c r="J24" s="16" t="s">
        <v>33</v>
      </c>
      <c r="L24" s="155"/>
      <c r="M24" s="155"/>
      <c r="N24" s="155"/>
      <c r="O24" s="155"/>
      <c r="P24" s="155"/>
      <c r="Q24" s="155"/>
      <c r="R24" s="155"/>
      <c r="S24" s="155"/>
      <c r="AB24" s="49" t="s">
        <v>77</v>
      </c>
      <c r="AC24" s="49"/>
      <c r="AD24" s="49"/>
      <c r="AE24" s="49"/>
      <c r="AF24" s="49"/>
      <c r="AG24" s="49"/>
      <c r="AH24" s="49"/>
      <c r="AI24" s="49"/>
      <c r="AJ24" s="49"/>
      <c r="AK24" s="49"/>
    </row>
    <row r="25" spans="2:38" x14ac:dyDescent="0.25">
      <c r="B25" s="58"/>
      <c r="C25" s="183"/>
      <c r="D25" s="184" t="s">
        <v>10</v>
      </c>
      <c r="E25" s="137"/>
      <c r="F25" s="137"/>
      <c r="G25" s="137"/>
      <c r="H25" s="138"/>
      <c r="I25" s="137"/>
      <c r="J25" s="139" t="s">
        <v>33</v>
      </c>
      <c r="K25" s="137"/>
      <c r="L25" s="179"/>
      <c r="M25" s="155"/>
      <c r="N25" s="155"/>
      <c r="O25" s="155"/>
      <c r="P25" s="155"/>
      <c r="Q25" s="155"/>
      <c r="R25" s="155"/>
      <c r="S25" s="155"/>
      <c r="AB25" s="49" t="s">
        <v>15</v>
      </c>
      <c r="AC25" s="74">
        <v>0.12</v>
      </c>
      <c r="AD25" s="74">
        <v>0.44</v>
      </c>
      <c r="AE25" s="74">
        <v>0.74</v>
      </c>
      <c r="AF25" s="74">
        <v>2.0299999999999998</v>
      </c>
      <c r="AI25" s="49"/>
      <c r="AJ25" s="49"/>
      <c r="AK25" s="49"/>
    </row>
    <row r="26" spans="2:38" x14ac:dyDescent="0.25">
      <c r="C26" s="185"/>
      <c r="D26" s="186" t="s">
        <v>140</v>
      </c>
      <c r="E26" s="140"/>
      <c r="F26" s="140"/>
      <c r="G26" s="140"/>
      <c r="H26" s="140"/>
      <c r="I26" s="141"/>
      <c r="J26" s="139" t="s">
        <v>33</v>
      </c>
      <c r="K26" s="137"/>
      <c r="L26" s="179"/>
      <c r="M26" s="155"/>
      <c r="N26" s="155"/>
      <c r="O26" s="155"/>
      <c r="P26" s="155"/>
      <c r="Q26" s="155"/>
      <c r="R26" s="155"/>
      <c r="S26" s="155"/>
      <c r="AB26" s="49" t="s">
        <v>12</v>
      </c>
      <c r="AC26" s="76">
        <v>1.03</v>
      </c>
      <c r="AD26" s="76">
        <v>1.03</v>
      </c>
      <c r="AE26" s="76">
        <v>1.03</v>
      </c>
      <c r="AF26" s="76">
        <v>0.91155000000000008</v>
      </c>
      <c r="AI26" s="51"/>
      <c r="AJ26" s="51"/>
      <c r="AK26" s="50"/>
    </row>
    <row r="27" spans="2:38" x14ac:dyDescent="0.25">
      <c r="C27" s="17" t="s">
        <v>22</v>
      </c>
      <c r="D27" s="158" t="s">
        <v>88</v>
      </c>
      <c r="E27" s="21"/>
      <c r="J27" s="16" t="s">
        <v>13</v>
      </c>
      <c r="L27" s="155"/>
      <c r="M27" s="155"/>
      <c r="N27" s="155"/>
      <c r="O27" s="155"/>
      <c r="P27" s="155"/>
      <c r="Q27" s="155"/>
      <c r="R27" s="155"/>
      <c r="S27" s="155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2:38" x14ac:dyDescent="0.25">
      <c r="D28" s="81" t="s">
        <v>8</v>
      </c>
      <c r="F28" s="21"/>
      <c r="J28" s="16" t="s">
        <v>13</v>
      </c>
      <c r="L28" s="155"/>
      <c r="M28" s="155"/>
      <c r="N28" s="155"/>
      <c r="O28" s="155"/>
      <c r="P28" s="155"/>
      <c r="Q28" s="155"/>
      <c r="R28" s="155"/>
      <c r="S28" s="155"/>
      <c r="AB28" s="49" t="s">
        <v>86</v>
      </c>
      <c r="AC28" s="49"/>
      <c r="AD28" s="52"/>
      <c r="AE28" s="52"/>
      <c r="AF28" s="52"/>
      <c r="AG28" s="52"/>
      <c r="AH28" s="52"/>
      <c r="AI28" s="49"/>
      <c r="AJ28" s="49"/>
      <c r="AK28" s="49"/>
    </row>
    <row r="29" spans="2:38" x14ac:dyDescent="0.25">
      <c r="D29" s="81" t="s">
        <v>9</v>
      </c>
      <c r="G29" s="21"/>
      <c r="J29" s="16" t="s">
        <v>13</v>
      </c>
      <c r="L29" s="155"/>
      <c r="M29" s="155"/>
      <c r="N29" s="155"/>
      <c r="O29" s="155"/>
      <c r="P29" s="155"/>
      <c r="Q29" s="155"/>
      <c r="R29" s="155"/>
      <c r="S29" s="155"/>
      <c r="AB29" s="49" t="s">
        <v>15</v>
      </c>
      <c r="AC29" s="77">
        <v>0.24</v>
      </c>
      <c r="AD29" s="77">
        <v>0.44</v>
      </c>
      <c r="AE29" s="77">
        <v>0.68</v>
      </c>
      <c r="AF29" s="77"/>
      <c r="AG29" s="77"/>
      <c r="AK29" s="49"/>
    </row>
    <row r="30" spans="2:38" x14ac:dyDescent="0.25">
      <c r="D30" s="81" t="s">
        <v>10</v>
      </c>
      <c r="H30" s="21"/>
      <c r="J30" s="16" t="s">
        <v>13</v>
      </c>
      <c r="L30" s="155"/>
      <c r="M30" s="155"/>
      <c r="N30" s="155"/>
      <c r="O30" s="155"/>
      <c r="P30" s="155"/>
      <c r="Q30" s="155"/>
      <c r="R30" s="155"/>
      <c r="S30" s="155"/>
      <c r="AB30" s="49" t="s">
        <v>12</v>
      </c>
      <c r="AC30" s="76">
        <v>1.03</v>
      </c>
      <c r="AD30" s="76">
        <v>1.03</v>
      </c>
      <c r="AE30" s="76">
        <v>1.03</v>
      </c>
      <c r="AF30" s="76"/>
      <c r="AG30" s="76"/>
      <c r="AK30" s="49"/>
    </row>
    <row r="31" spans="2:38" x14ac:dyDescent="0.25">
      <c r="C31" s="140"/>
      <c r="D31" s="143" t="s">
        <v>140</v>
      </c>
      <c r="E31" s="140"/>
      <c r="F31" s="140"/>
      <c r="G31" s="140"/>
      <c r="H31" s="140"/>
      <c r="I31" s="141"/>
      <c r="J31" s="16" t="s">
        <v>13</v>
      </c>
      <c r="L31" s="155"/>
      <c r="M31" s="155"/>
      <c r="N31" s="155"/>
      <c r="O31" s="155"/>
      <c r="P31" s="155"/>
      <c r="Q31" s="155"/>
      <c r="R31" s="155"/>
      <c r="S31" s="155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2:38" x14ac:dyDescent="0.25">
      <c r="B32" s="26" t="str">
        <f>IF(obliczenia!$A$21=4,IF(obliczenia!$D$21=1,"TAK",""),"")</f>
        <v/>
      </c>
      <c r="C32" s="27" t="s">
        <v>18</v>
      </c>
      <c r="D32" s="28" t="str">
        <f>IF(B32="TAK",IF(interface!$G$26&lt;=5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,"")</f>
        <v/>
      </c>
      <c r="E32" s="27" t="str">
        <f>IF(B32="TAK","mln PLN/MWt","")</f>
        <v/>
      </c>
      <c r="L32" s="155"/>
      <c r="M32" s="155"/>
      <c r="N32" s="155"/>
      <c r="O32" s="155"/>
      <c r="P32" s="155"/>
      <c r="Q32" s="155"/>
      <c r="R32" s="155"/>
      <c r="S32" s="155"/>
      <c r="AB32" s="180" t="s">
        <v>156</v>
      </c>
      <c r="AC32" s="180"/>
      <c r="AD32" s="181"/>
      <c r="AE32" s="181"/>
      <c r="AF32" s="52"/>
      <c r="AG32" s="52"/>
      <c r="AJ32" s="49"/>
      <c r="AK32" s="49"/>
    </row>
    <row r="33" spans="2:37" x14ac:dyDescent="0.25">
      <c r="B33" s="26" t="str">
        <f>IF(obliczenia!$A$21=4,IF(obliczenia!$D$21=2,"TAK",""),"")</f>
        <v/>
      </c>
      <c r="C33" s="27" t="s">
        <v>21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L33" s="155"/>
      <c r="M33" s="155"/>
      <c r="N33" s="155"/>
      <c r="O33" s="155"/>
      <c r="P33" s="155"/>
      <c r="Q33" s="155"/>
      <c r="R33" s="155"/>
      <c r="S33" s="155"/>
      <c r="AB33" s="49" t="s">
        <v>15</v>
      </c>
      <c r="AC33" s="77">
        <v>0.03</v>
      </c>
      <c r="AD33" s="77">
        <v>0.5</v>
      </c>
      <c r="AE33" s="77">
        <v>1.3</v>
      </c>
      <c r="AF33" s="77">
        <v>10.4</v>
      </c>
      <c r="AG33" s="77">
        <v>12.5</v>
      </c>
      <c r="AH33" s="77">
        <v>18.2</v>
      </c>
      <c r="AI33" s="77">
        <v>19.899999999999999</v>
      </c>
      <c r="AJ33" s="49"/>
      <c r="AK33" s="49"/>
    </row>
    <row r="34" spans="2:37" x14ac:dyDescent="0.25">
      <c r="B34" s="26" t="str">
        <f>IF(obliczenia!$A$21=4,IF(obliczenia!$D$21=3,"TAK",""),"")</f>
        <v/>
      </c>
      <c r="C34" s="27" t="s">
        <v>34</v>
      </c>
      <c r="D34" s="28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L34" s="155"/>
      <c r="M34" s="155"/>
      <c r="N34" s="155"/>
      <c r="O34" s="155"/>
      <c r="P34" s="155"/>
      <c r="Q34" s="155"/>
      <c r="R34" s="155"/>
      <c r="S34" s="155"/>
      <c r="AB34" s="49" t="s">
        <v>12</v>
      </c>
      <c r="AC34" s="76">
        <v>1.03</v>
      </c>
      <c r="AD34" s="76">
        <v>1.03</v>
      </c>
      <c r="AE34" s="76">
        <v>0.99550000000000005</v>
      </c>
      <c r="AF34" s="76">
        <v>0.46739999999999998</v>
      </c>
      <c r="AG34" s="76">
        <v>0.42749999999999999</v>
      </c>
      <c r="AH34" s="76">
        <v>0.36080000000000001</v>
      </c>
      <c r="AI34" s="76">
        <v>0.35060000000000002</v>
      </c>
      <c r="AJ34" s="49"/>
      <c r="AK34" s="49"/>
    </row>
    <row r="35" spans="2:37" x14ac:dyDescent="0.25">
      <c r="B35" s="26" t="str">
        <f>IF(obliczenia!$A$21=4,IF(obliczenia!$D$21=4,"TAK",""),"")</f>
        <v/>
      </c>
      <c r="C35" s="178" t="s">
        <v>154</v>
      </c>
      <c r="D35" s="28" t="str">
        <f>IF(B35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5" s="27" t="str">
        <f>IF(B35="TAK","mln PLN/MWt","")</f>
        <v/>
      </c>
      <c r="L35" s="155"/>
      <c r="M35" s="155"/>
      <c r="N35" s="155"/>
      <c r="O35" s="155"/>
      <c r="P35" s="155"/>
      <c r="Q35" s="155"/>
      <c r="R35" s="155"/>
      <c r="S35" s="155"/>
    </row>
    <row r="36" spans="2:37" x14ac:dyDescent="0.25">
      <c r="B36" s="26" t="str">
        <f>IF(obliczenia!$A$21=4,IF(obliczenia!$D$21=5,"TAK",""),"")</f>
        <v/>
      </c>
      <c r="C36" s="27" t="s">
        <v>22</v>
      </c>
      <c r="D36" s="28" t="str">
        <f>IF(B36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6" s="27" t="str">
        <f>IF(B36="TAK","PLN/GJ","")</f>
        <v/>
      </c>
      <c r="F36" s="82"/>
      <c r="G36" s="35"/>
      <c r="H36" s="35"/>
      <c r="I36" s="35"/>
      <c r="L36" s="155"/>
      <c r="M36" s="155"/>
      <c r="N36" s="155"/>
      <c r="O36" s="155"/>
      <c r="P36" s="155"/>
      <c r="Q36" s="155"/>
      <c r="R36" s="155"/>
      <c r="S36" s="155"/>
      <c r="AB36" s="49"/>
      <c r="AC36" s="49"/>
      <c r="AD36" s="52"/>
      <c r="AE36" s="52"/>
      <c r="AF36" s="52"/>
      <c r="AG36" s="52"/>
      <c r="AH36" s="52"/>
      <c r="AI36" s="49"/>
    </row>
    <row r="37" spans="2:37" x14ac:dyDescent="0.25">
      <c r="B37" s="26"/>
      <c r="C37" s="27"/>
      <c r="D37" s="27"/>
      <c r="E37" s="27"/>
      <c r="F37" s="16"/>
      <c r="G37" s="16"/>
      <c r="H37" s="16"/>
      <c r="I37" s="16"/>
      <c r="L37" s="155"/>
      <c r="M37" s="155"/>
      <c r="N37" s="155"/>
      <c r="O37" s="155"/>
      <c r="P37" s="155"/>
      <c r="Q37" s="155"/>
      <c r="R37" s="155"/>
      <c r="AI37" s="56"/>
    </row>
    <row r="38" spans="2:37" x14ac:dyDescent="0.25">
      <c r="B38" s="26"/>
      <c r="C38" s="27"/>
      <c r="D38" s="27"/>
      <c r="E38" s="27"/>
      <c r="F38" s="16"/>
      <c r="G38" s="16"/>
      <c r="H38" s="16"/>
      <c r="I38" s="16"/>
      <c r="L38" s="155"/>
      <c r="M38" s="155"/>
      <c r="N38" s="155"/>
      <c r="O38" s="155"/>
      <c r="P38" s="155"/>
      <c r="Q38" s="155"/>
      <c r="R38" s="155"/>
      <c r="AI38" s="50"/>
    </row>
    <row r="39" spans="2:37" x14ac:dyDescent="0.25">
      <c r="B39" s="26"/>
      <c r="C39" s="27"/>
      <c r="D39" s="29"/>
      <c r="E39" s="29"/>
      <c r="F39" s="16"/>
      <c r="G39" s="16"/>
      <c r="H39" s="16"/>
      <c r="I39" s="16"/>
      <c r="S39" s="155"/>
    </row>
    <row r="40" spans="2:37" x14ac:dyDescent="0.25">
      <c r="D40" s="30" t="str">
        <f>IF(obliczenia!A21=4,VLOOKUP("TAK",B32:E39,3,0),"")</f>
        <v/>
      </c>
      <c r="E40" s="27" t="str">
        <f>IF(obliczenia!A21=4,VLOOKUP("TAK",B32:E39,4,0),"")</f>
        <v/>
      </c>
    </row>
  </sheetData>
  <mergeCells count="2">
    <mergeCell ref="E2:I2"/>
    <mergeCell ref="C22:C2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interface</vt:lpstr>
      <vt:lpstr>obliczenia</vt:lpstr>
      <vt:lpstr>OZE_cieplo</vt:lpstr>
      <vt:lpstr>OZE_en_el</vt:lpstr>
      <vt:lpstr>OZE_kogen</vt:lpstr>
      <vt:lpstr>high_kogen</vt:lpstr>
      <vt:lpstr>high_kogen!Obszar_wydruku</vt:lpstr>
      <vt:lpstr>interface!Obszar_wydruku</vt:lpstr>
      <vt:lpstr>OZE_cieplo!Obszar_wydruku</vt:lpstr>
      <vt:lpstr>OZE_en_el!Obszar_wydruku</vt:lpstr>
      <vt:lpstr>OZE_kogen!Obszar_wydruku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2016-06-29T11:06:02Z</dcterms:modified>
</cp:coreProperties>
</file>